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Wand Mapping" sheetId="1" r:id="rId4"/>
    <sheet state="hidden" name="Spell Data" sheetId="2" r:id="rId5"/>
    <sheet state="hidden" name="Spells By School" sheetId="3" r:id="rId6"/>
    <sheet state="hidden" name="Filtered Spells By School" sheetId="4" r:id="rId7"/>
  </sheets>
  <definedNames/>
  <calcPr/>
</workbook>
</file>

<file path=xl/sharedStrings.xml><?xml version="1.0" encoding="utf-8"?>
<sst xmlns="http://schemas.openxmlformats.org/spreadsheetml/2006/main" count="1728" uniqueCount="652">
  <si>
    <t>Schools</t>
  </si>
  <si>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</si>
  <si>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</si>
  <si>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</si>
  <si>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</si>
  <si>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</si>
  <si>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</si>
  <si>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</si>
  <si>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</si>
  <si>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</si>
  <si>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</si>
  <si>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</si>
  <si>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White</t>
  </si>
  <si>
    <t>Blue</t>
  </si>
  <si>
    <t>Yellow</t>
  </si>
  <si>
    <t>Orange</t>
  </si>
  <si>
    <t>Red</t>
  </si>
  <si>
    <t>Green</t>
  </si>
  <si>
    <t>Black</t>
  </si>
  <si>
    <t>Purple</t>
  </si>
  <si>
    <t>Chromatic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</si>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</sst>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7">
    <font>
      <sz val="10.0"/>
      <color rgb="FF000000"/>
      <name val="Arial"/>
      <scheme val="minor"/>
    </font>
    <font>
      <b/>
      <color theme="1"/>
      <name val="Arial"/>
      <scheme val="minor"/>
    </font>
    <font>
      <b/>
      <i/>
      <color theme="1"/>
      <name val="Arial"/>
      <scheme val="minor"/>
    </font>
    <font>
      <color theme="1"/>
      <name val="Arial"/>
      <scheme val="minor"/>
    </font>
    <font>
      <i/>
      <color theme="1"/>
      <name val="Arial"/>
      <scheme val="minor"/>
    </font>
    <font>
      <b/>
      <i/>
      <sz val="11.0"/>
      <color rgb="FF000000"/>
      <name val="Calibri"/>
    </font>
    <font>
      <sz val="11.0"/>
      <color rgb="FF000000"/>
      <name val="Calibri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11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readingOrder="0"/>
    </xf>
    <xf borderId="0" fillId="0" fontId="2" numFmtId="0" xfId="0" applyAlignment="1" applyFont="1">
      <alignment readingOrder="0"/>
    </xf>
    <xf borderId="0" fillId="0" fontId="3" numFmtId="0" xfId="0" applyAlignment="1" applyFont="1">
      <alignment readingOrder="0"/>
    </xf>
    <xf borderId="0" fillId="0" fontId="4" numFmtId="0" xfId="0" applyAlignment="1" applyFont="1">
      <alignment horizontal="left" readingOrder="0"/>
    </xf>
    <xf borderId="0" fillId="0" fontId="4" numFmtId="0" xfId="0" applyAlignment="1" applyFont="1">
      <alignment readingOrder="0"/>
    </xf>
    <xf borderId="0" fillId="0" fontId="3" numFmtId="0" xfId="0" applyAlignment="1" applyFont="1">
      <alignment horizontal="center" readingOrder="0" vertical="center"/>
    </xf>
    <xf borderId="0" fillId="0" fontId="3" numFmtId="0" xfId="0" applyAlignment="1" applyFont="1">
      <alignment horizontal="center" vertical="center"/>
    </xf>
    <xf borderId="0" fillId="0" fontId="5" numFmtId="0" xfId="0" applyAlignment="1" applyFont="1">
      <alignment readingOrder="0" shrinkToFit="0" vertical="bottom" wrapText="0"/>
    </xf>
    <xf borderId="0" fillId="0" fontId="6" numFmtId="0" xfId="0" applyAlignment="1" applyFont="1">
      <alignment readingOrder="0" shrinkToFit="0" vertical="bottom" wrapText="0"/>
    </xf>
    <xf borderId="0" fillId="0" fontId="3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29.png"/><Relationship Id="rId42" Type="http://schemas.openxmlformats.org/officeDocument/2006/relationships/image" Target="../media/image33.png"/><Relationship Id="rId41" Type="http://schemas.openxmlformats.org/officeDocument/2006/relationships/image" Target="../media/image53.png"/><Relationship Id="rId44" Type="http://schemas.openxmlformats.org/officeDocument/2006/relationships/image" Target="../media/image43.png"/><Relationship Id="rId43" Type="http://schemas.openxmlformats.org/officeDocument/2006/relationships/image" Target="../media/image39.png"/><Relationship Id="rId46" Type="http://schemas.openxmlformats.org/officeDocument/2006/relationships/image" Target="../media/image41.png"/><Relationship Id="rId45" Type="http://schemas.openxmlformats.org/officeDocument/2006/relationships/image" Target="../media/image35.png"/><Relationship Id="rId48" Type="http://schemas.openxmlformats.org/officeDocument/2006/relationships/image" Target="../media/image52.png"/><Relationship Id="rId47" Type="http://schemas.openxmlformats.org/officeDocument/2006/relationships/image" Target="../media/image48.png"/><Relationship Id="rId49" Type="http://schemas.openxmlformats.org/officeDocument/2006/relationships/image" Target="../media/image75.png"/><Relationship Id="rId100" Type="http://schemas.openxmlformats.org/officeDocument/2006/relationships/image" Target="../media/image87.png"/><Relationship Id="rId31" Type="http://schemas.openxmlformats.org/officeDocument/2006/relationships/image" Target="../media/image23.png"/><Relationship Id="rId30" Type="http://schemas.openxmlformats.org/officeDocument/2006/relationships/image" Target="../media/image24.png"/><Relationship Id="rId33" Type="http://schemas.openxmlformats.org/officeDocument/2006/relationships/image" Target="../media/image31.png"/><Relationship Id="rId32" Type="http://schemas.openxmlformats.org/officeDocument/2006/relationships/image" Target="../media/image38.png"/><Relationship Id="rId35" Type="http://schemas.openxmlformats.org/officeDocument/2006/relationships/image" Target="../media/image50.png"/><Relationship Id="rId34" Type="http://schemas.openxmlformats.org/officeDocument/2006/relationships/image" Target="../media/image32.png"/><Relationship Id="rId37" Type="http://schemas.openxmlformats.org/officeDocument/2006/relationships/image" Target="../media/image34.png"/><Relationship Id="rId36" Type="http://schemas.openxmlformats.org/officeDocument/2006/relationships/image" Target="../media/image37.png"/><Relationship Id="rId39" Type="http://schemas.openxmlformats.org/officeDocument/2006/relationships/image" Target="../media/image36.png"/><Relationship Id="rId38" Type="http://schemas.openxmlformats.org/officeDocument/2006/relationships/image" Target="../media/image30.png"/><Relationship Id="rId20" Type="http://schemas.openxmlformats.org/officeDocument/2006/relationships/image" Target="../media/image21.png"/><Relationship Id="rId22" Type="http://schemas.openxmlformats.org/officeDocument/2006/relationships/image" Target="../media/image4.png"/><Relationship Id="rId21" Type="http://schemas.openxmlformats.org/officeDocument/2006/relationships/image" Target="../media/image17.png"/><Relationship Id="rId24" Type="http://schemas.openxmlformats.org/officeDocument/2006/relationships/image" Target="../media/image10.png"/><Relationship Id="rId23" Type="http://schemas.openxmlformats.org/officeDocument/2006/relationships/image" Target="../media/image6.png"/><Relationship Id="rId26" Type="http://schemas.openxmlformats.org/officeDocument/2006/relationships/image" Target="../media/image42.png"/><Relationship Id="rId25" Type="http://schemas.openxmlformats.org/officeDocument/2006/relationships/image" Target="../media/image9.png"/><Relationship Id="rId28" Type="http://schemas.openxmlformats.org/officeDocument/2006/relationships/image" Target="../media/image40.png"/><Relationship Id="rId27" Type="http://schemas.openxmlformats.org/officeDocument/2006/relationships/image" Target="../media/image27.png"/><Relationship Id="rId29" Type="http://schemas.openxmlformats.org/officeDocument/2006/relationships/image" Target="../media/image47.png"/><Relationship Id="rId95" Type="http://schemas.openxmlformats.org/officeDocument/2006/relationships/image" Target="../media/image93.png"/><Relationship Id="rId94" Type="http://schemas.openxmlformats.org/officeDocument/2006/relationships/image" Target="../media/image85.png"/><Relationship Id="rId97" Type="http://schemas.openxmlformats.org/officeDocument/2006/relationships/image" Target="../media/image92.png"/><Relationship Id="rId96" Type="http://schemas.openxmlformats.org/officeDocument/2006/relationships/image" Target="../media/image98.png"/><Relationship Id="rId11" Type="http://schemas.openxmlformats.org/officeDocument/2006/relationships/image" Target="../media/image14.png"/><Relationship Id="rId99" Type="http://schemas.openxmlformats.org/officeDocument/2006/relationships/image" Target="../media/image100.png"/><Relationship Id="rId10" Type="http://schemas.openxmlformats.org/officeDocument/2006/relationships/image" Target="../media/image19.png"/><Relationship Id="rId98" Type="http://schemas.openxmlformats.org/officeDocument/2006/relationships/image" Target="../media/image89.png"/><Relationship Id="rId13" Type="http://schemas.openxmlformats.org/officeDocument/2006/relationships/image" Target="../media/image2.png"/><Relationship Id="rId12" Type="http://schemas.openxmlformats.org/officeDocument/2006/relationships/image" Target="../media/image26.png"/><Relationship Id="rId91" Type="http://schemas.openxmlformats.org/officeDocument/2006/relationships/image" Target="../media/image90.png"/><Relationship Id="rId90" Type="http://schemas.openxmlformats.org/officeDocument/2006/relationships/image" Target="../media/image79.png"/><Relationship Id="rId93" Type="http://schemas.openxmlformats.org/officeDocument/2006/relationships/image" Target="../media/image88.png"/><Relationship Id="rId92" Type="http://schemas.openxmlformats.org/officeDocument/2006/relationships/image" Target="../media/image99.png"/><Relationship Id="rId15" Type="http://schemas.openxmlformats.org/officeDocument/2006/relationships/image" Target="../media/image16.png"/><Relationship Id="rId14" Type="http://schemas.openxmlformats.org/officeDocument/2006/relationships/image" Target="../media/image22.png"/><Relationship Id="rId17" Type="http://schemas.openxmlformats.org/officeDocument/2006/relationships/image" Target="../media/image11.png"/><Relationship Id="rId16" Type="http://schemas.openxmlformats.org/officeDocument/2006/relationships/image" Target="../media/image28.png"/><Relationship Id="rId19" Type="http://schemas.openxmlformats.org/officeDocument/2006/relationships/image" Target="../media/image12.png"/><Relationship Id="rId18" Type="http://schemas.openxmlformats.org/officeDocument/2006/relationships/image" Target="../media/image5.png"/><Relationship Id="rId84" Type="http://schemas.openxmlformats.org/officeDocument/2006/relationships/image" Target="../media/image71.png"/><Relationship Id="rId83" Type="http://schemas.openxmlformats.org/officeDocument/2006/relationships/image" Target="../media/image80.png"/><Relationship Id="rId86" Type="http://schemas.openxmlformats.org/officeDocument/2006/relationships/image" Target="../media/image81.png"/><Relationship Id="rId85" Type="http://schemas.openxmlformats.org/officeDocument/2006/relationships/image" Target="../media/image95.png"/><Relationship Id="rId88" Type="http://schemas.openxmlformats.org/officeDocument/2006/relationships/image" Target="../media/image83.png"/><Relationship Id="rId87" Type="http://schemas.openxmlformats.org/officeDocument/2006/relationships/image" Target="../media/image96.png"/><Relationship Id="rId89" Type="http://schemas.openxmlformats.org/officeDocument/2006/relationships/image" Target="../media/image86.png"/><Relationship Id="rId80" Type="http://schemas.openxmlformats.org/officeDocument/2006/relationships/image" Target="../media/image77.png"/><Relationship Id="rId82" Type="http://schemas.openxmlformats.org/officeDocument/2006/relationships/image" Target="../media/image84.png"/><Relationship Id="rId81" Type="http://schemas.openxmlformats.org/officeDocument/2006/relationships/image" Target="../media/image97.png"/><Relationship Id="rId1" Type="http://schemas.openxmlformats.org/officeDocument/2006/relationships/image" Target="../media/image20.png"/><Relationship Id="rId2" Type="http://schemas.openxmlformats.org/officeDocument/2006/relationships/image" Target="../media/image13.png"/><Relationship Id="rId3" Type="http://schemas.openxmlformats.org/officeDocument/2006/relationships/image" Target="../media/image18.png"/><Relationship Id="rId4" Type="http://schemas.openxmlformats.org/officeDocument/2006/relationships/image" Target="../media/image25.png"/><Relationship Id="rId9" Type="http://schemas.openxmlformats.org/officeDocument/2006/relationships/image" Target="../media/image3.png"/><Relationship Id="rId5" Type="http://schemas.openxmlformats.org/officeDocument/2006/relationships/image" Target="../media/image8.png"/><Relationship Id="rId6" Type="http://schemas.openxmlformats.org/officeDocument/2006/relationships/image" Target="../media/image7.png"/><Relationship Id="rId7" Type="http://schemas.openxmlformats.org/officeDocument/2006/relationships/image" Target="../media/image15.png"/><Relationship Id="rId8" Type="http://schemas.openxmlformats.org/officeDocument/2006/relationships/image" Target="../media/image1.png"/><Relationship Id="rId73" Type="http://schemas.openxmlformats.org/officeDocument/2006/relationships/image" Target="../media/image82.png"/><Relationship Id="rId72" Type="http://schemas.openxmlformats.org/officeDocument/2006/relationships/image" Target="../media/image64.png"/><Relationship Id="rId75" Type="http://schemas.openxmlformats.org/officeDocument/2006/relationships/image" Target="../media/image68.png"/><Relationship Id="rId74" Type="http://schemas.openxmlformats.org/officeDocument/2006/relationships/image" Target="../media/image72.png"/><Relationship Id="rId77" Type="http://schemas.openxmlformats.org/officeDocument/2006/relationships/image" Target="../media/image78.png"/><Relationship Id="rId76" Type="http://schemas.openxmlformats.org/officeDocument/2006/relationships/image" Target="../media/image91.png"/><Relationship Id="rId79" Type="http://schemas.openxmlformats.org/officeDocument/2006/relationships/image" Target="../media/image69.png"/><Relationship Id="rId78" Type="http://schemas.openxmlformats.org/officeDocument/2006/relationships/image" Target="../media/image94.png"/><Relationship Id="rId71" Type="http://schemas.openxmlformats.org/officeDocument/2006/relationships/image" Target="../media/image74.png"/><Relationship Id="rId70" Type="http://schemas.openxmlformats.org/officeDocument/2006/relationships/image" Target="../media/image73.png"/><Relationship Id="rId62" Type="http://schemas.openxmlformats.org/officeDocument/2006/relationships/image" Target="../media/image66.png"/><Relationship Id="rId61" Type="http://schemas.openxmlformats.org/officeDocument/2006/relationships/image" Target="../media/image54.png"/><Relationship Id="rId64" Type="http://schemas.openxmlformats.org/officeDocument/2006/relationships/image" Target="../media/image67.png"/><Relationship Id="rId63" Type="http://schemas.openxmlformats.org/officeDocument/2006/relationships/image" Target="../media/image65.png"/><Relationship Id="rId66" Type="http://schemas.openxmlformats.org/officeDocument/2006/relationships/image" Target="../media/image58.png"/><Relationship Id="rId65" Type="http://schemas.openxmlformats.org/officeDocument/2006/relationships/image" Target="../media/image61.png"/><Relationship Id="rId68" Type="http://schemas.openxmlformats.org/officeDocument/2006/relationships/image" Target="../media/image60.png"/><Relationship Id="rId67" Type="http://schemas.openxmlformats.org/officeDocument/2006/relationships/image" Target="../media/image62.png"/><Relationship Id="rId60" Type="http://schemas.openxmlformats.org/officeDocument/2006/relationships/image" Target="../media/image59.png"/><Relationship Id="rId69" Type="http://schemas.openxmlformats.org/officeDocument/2006/relationships/image" Target="../media/image63.png"/><Relationship Id="rId51" Type="http://schemas.openxmlformats.org/officeDocument/2006/relationships/image" Target="../media/image56.png"/><Relationship Id="rId50" Type="http://schemas.openxmlformats.org/officeDocument/2006/relationships/image" Target="../media/image44.png"/><Relationship Id="rId53" Type="http://schemas.openxmlformats.org/officeDocument/2006/relationships/image" Target="../media/image70.png"/><Relationship Id="rId52" Type="http://schemas.openxmlformats.org/officeDocument/2006/relationships/image" Target="../media/image45.png"/><Relationship Id="rId55" Type="http://schemas.openxmlformats.org/officeDocument/2006/relationships/image" Target="../media/image55.png"/><Relationship Id="rId54" Type="http://schemas.openxmlformats.org/officeDocument/2006/relationships/image" Target="../media/image76.png"/><Relationship Id="rId57" Type="http://schemas.openxmlformats.org/officeDocument/2006/relationships/image" Target="../media/image57.png"/><Relationship Id="rId56" Type="http://schemas.openxmlformats.org/officeDocument/2006/relationships/image" Target="../media/image46.png"/><Relationship Id="rId59" Type="http://schemas.openxmlformats.org/officeDocument/2006/relationships/image" Target="../media/image49.png"/><Relationship Id="rId58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</xdr:row>
      <xdr:rowOff>0</xdr:rowOff>
    </xdr:from>
    <xdr:ext cx="1285875" cy="1285875"/>
    <xdr:pic>
      <xdr:nvPicPr>
        <xdr:cNvPr id="0" name="image2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0" name="image1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0" name="image1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0" name="image2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85875" cy="1285875"/>
    <xdr:pic>
      <xdr:nvPicPr>
        <xdr:cNvPr id="0" name="image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0" name="image1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47775" cy="1285875"/>
    <xdr:pic>
      <xdr:nvPicPr>
        <xdr:cNvPr id="0" name="image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0" name="image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0" name="image1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0" name="image1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0" name="image26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0" name="image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0" name="image22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0" name="image1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85875" cy="1285875"/>
    <xdr:pic>
      <xdr:nvPicPr>
        <xdr:cNvPr id="0" name="image1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0" name="image5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28725" cy="1285875"/>
    <xdr:pic>
      <xdr:nvPicPr>
        <xdr:cNvPr id="0" name="image12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0" name="image2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0" name="image17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0" name="image4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0" name="image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0" name="image10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0" name="image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0" name="image42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0" name="image27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0" name="image4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0" name="image47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0" name="image24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0" name="image23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0" name="image3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0" name="image31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0" name="image32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0" name="image5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0" name="image37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0" name="image3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0" name="image30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0" name="image36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0" name="image29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0" name="image53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0" name="image33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0" name="image39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0" name="image43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0" name="image35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0" name="image41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0" name="image4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0" name="image52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0" name="image75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0" name="image44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0" name="image56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0" name="image45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0" name="image70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0" name="image76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0" name="image55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0" name="image46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0" name="image57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85875" cy="1285875"/>
    <xdr:pic>
      <xdr:nvPicPr>
        <xdr:cNvPr id="0" name="image51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0" name="image49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66825" cy="1285875"/>
    <xdr:pic>
      <xdr:nvPicPr>
        <xdr:cNvPr id="0" name="image59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0" name="image54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0" name="image66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0" name="image65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0" name="image67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0" name="image61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0" name="image58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0" name="image62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0" name="image60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0" name="image6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0" name="image73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0" name="image74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0" name="image6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0" name="image8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0" name="image72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85875" cy="1285875"/>
    <xdr:pic>
      <xdr:nvPicPr>
        <xdr:cNvPr id="0" name="image68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0" name="image9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66825" cy="1285875"/>
    <xdr:pic>
      <xdr:nvPicPr>
        <xdr:cNvPr id="0" name="image78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0" name="image94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0" name="image69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0" name="image77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0" name="image97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0" name="image84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0" name="image80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0" name="image71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0" name="image95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0" name="image81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0" name="image96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0" name="image83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0" name="image86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0" name="image79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0" name="image9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0" name="image99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0" name="image88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0" name="image85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0" name="image93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0" name="image98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0" name="image92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0" name="image89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1285875" cy="1285875"/>
    <xdr:pic>
      <xdr:nvPicPr>
        <xdr:cNvPr id="0" name="image100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1285875" cy="1285875"/>
    <xdr:pic>
      <xdr:nvPicPr>
        <xdr:cNvPr id="0" name="image87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3.0" topLeftCell="A4" activePane="bottomLeft" state="frozen"/>
      <selection activeCell="B5" sqref="B5" pane="bottomLeft"/>
    </sheetView>
  </sheetViews>
  <sheetFormatPr customHeight="1" defaultColWidth="12.63" defaultRowHeight="15.75"/>
  <cols>
    <col customWidth="1" min="1" max="1" width="18.38"/>
    <col customWidth="1" min="2" max="12" width="14.38"/>
  </cols>
  <sheetData>
    <row r="1">
      <c r="B1" s="1" t="s">
        <v>0</v>
      </c>
    </row>
    <row r="2">
      <c r="A2" s="2" t="s">
        <v>1</v>
      </c>
      <c r="B2" s="2" t="s">
        <v>2</v>
      </c>
      <c r="C2" s="2" t="s">
        <v>3</v>
      </c>
      <c r="D2" s="2" t="s">
        <v>4</v>
      </c>
      <c r="E2" s="2" t="s">
        <v>5</v>
      </c>
      <c r="F2" s="2" t="s">
        <v>6</v>
      </c>
      <c r="G2" s="2" t="s">
        <v>7</v>
      </c>
      <c r="H2" s="2" t="s">
        <v>8</v>
      </c>
      <c r="I2" s="2" t="s">
        <v>9</v>
      </c>
      <c r="J2" s="2" t="s">
        <v>10</v>
      </c>
      <c r="L2" s="3" t="s">
        <v>11</v>
      </c>
    </row>
    <row r="3">
      <c r="A3" s="2"/>
      <c r="B3" s="4" t="s">
        <v>12</v>
      </c>
      <c r="C3" s="5" t="s">
        <v>13</v>
      </c>
      <c r="D3" s="5" t="s">
        <v>14</v>
      </c>
      <c r="E3" s="5" t="s">
        <v>15</v>
      </c>
      <c r="F3" s="5" t="s">
        <v>16</v>
      </c>
      <c r="G3" s="5" t="s">
        <v>17</v>
      </c>
      <c r="H3" s="5" t="s">
        <v>18</v>
      </c>
      <c r="I3" s="5" t="s">
        <v>19</v>
      </c>
      <c r="J3" s="5" t="s">
        <v>20</v>
      </c>
      <c r="L3" s="3"/>
    </row>
    <row r="4" ht="101.25" customHeight="1">
      <c r="A4" s="3"/>
      <c r="B4" s="6"/>
      <c r="C4" s="6" t="s">
        <v>21</v>
      </c>
      <c r="D4" s="7"/>
      <c r="E4" s="7"/>
      <c r="F4" s="6" t="s">
        <v>22</v>
      </c>
      <c r="G4" s="7"/>
      <c r="H4" s="6" t="s">
        <v>23</v>
      </c>
      <c r="I4" s="7"/>
      <c r="J4" s="7"/>
      <c r="L4" s="3" t="s">
        <v>24</v>
      </c>
    </row>
    <row r="5" ht="101.25" customHeight="1">
      <c r="A5" s="3"/>
      <c r="B5" s="6"/>
      <c r="C5" s="6" t="s">
        <v>25</v>
      </c>
      <c r="D5" s="7"/>
      <c r="E5" s="7"/>
      <c r="F5" s="7"/>
      <c r="G5" s="7"/>
      <c r="H5" s="6" t="s">
        <v>26</v>
      </c>
      <c r="I5" s="7"/>
      <c r="J5" s="7"/>
      <c r="L5" s="3" t="s">
        <v>27</v>
      </c>
    </row>
    <row r="6" ht="101.25" customHeight="1">
      <c r="A6" s="3"/>
      <c r="B6" s="6"/>
      <c r="C6" s="6" t="s">
        <v>28</v>
      </c>
      <c r="D6" s="7"/>
      <c r="E6" s="7"/>
      <c r="F6" s="6" t="s">
        <v>29</v>
      </c>
      <c r="G6" s="6" t="s">
        <v>30</v>
      </c>
      <c r="H6" s="6" t="s">
        <v>31</v>
      </c>
      <c r="I6" s="6" t="s">
        <v>32</v>
      </c>
      <c r="J6" s="7"/>
      <c r="L6" s="3" t="s">
        <v>33</v>
      </c>
    </row>
    <row r="7" ht="101.25" customHeight="1">
      <c r="A7" s="3"/>
      <c r="B7" s="6" t="s">
        <v>34</v>
      </c>
      <c r="C7" s="6" t="s">
        <v>35</v>
      </c>
      <c r="D7" s="7"/>
      <c r="E7" s="7"/>
      <c r="F7" s="7"/>
      <c r="G7" s="7"/>
      <c r="H7" s="6" t="s">
        <v>36</v>
      </c>
      <c r="I7" s="7"/>
      <c r="J7" s="7"/>
      <c r="L7" s="3" t="s">
        <v>37</v>
      </c>
    </row>
    <row r="8" ht="101.25" customHeight="1">
      <c r="A8" s="3"/>
      <c r="B8" s="6" t="s">
        <v>38</v>
      </c>
      <c r="C8" s="6" t="s">
        <v>39</v>
      </c>
      <c r="D8" s="6" t="s">
        <v>40</v>
      </c>
      <c r="E8" s="7"/>
      <c r="F8" s="6"/>
      <c r="G8" s="7"/>
      <c r="H8" s="6" t="s">
        <v>41</v>
      </c>
      <c r="I8" s="7"/>
      <c r="J8" s="7"/>
      <c r="L8" s="3" t="s">
        <v>42</v>
      </c>
    </row>
    <row r="9" ht="101.25" customHeight="1">
      <c r="A9" s="3"/>
      <c r="B9" s="6" t="s">
        <v>43</v>
      </c>
      <c r="C9" s="6" t="s">
        <v>44</v>
      </c>
      <c r="D9" s="7"/>
      <c r="E9" s="6" t="s">
        <v>45</v>
      </c>
      <c r="F9" s="7"/>
      <c r="G9" s="7"/>
      <c r="H9" s="6" t="s">
        <v>46</v>
      </c>
      <c r="I9" s="7"/>
      <c r="J9" s="7"/>
      <c r="L9" s="3" t="s">
        <v>47</v>
      </c>
    </row>
    <row r="10" ht="101.25" customHeight="1">
      <c r="A10" s="3"/>
      <c r="B10" s="6" t="s">
        <v>48</v>
      </c>
      <c r="C10" s="6" t="s">
        <v>49</v>
      </c>
      <c r="D10" s="7"/>
      <c r="E10" s="7"/>
      <c r="F10" s="6" t="s">
        <v>50</v>
      </c>
      <c r="G10" s="6" t="s">
        <v>51</v>
      </c>
      <c r="H10" s="6" t="s">
        <v>52</v>
      </c>
      <c r="I10" s="7"/>
      <c r="J10" s="7"/>
      <c r="L10" s="3" t="s">
        <v>53</v>
      </c>
    </row>
    <row r="11" ht="101.25" customHeight="1">
      <c r="A11" s="3"/>
      <c r="B11" s="6" t="s">
        <v>54</v>
      </c>
      <c r="C11" s="6" t="s">
        <v>55</v>
      </c>
      <c r="D11" s="6" t="s">
        <v>56</v>
      </c>
      <c r="E11" s="7"/>
      <c r="F11" s="6"/>
      <c r="G11" s="6" t="s">
        <v>57</v>
      </c>
      <c r="H11" s="6" t="s">
        <v>58</v>
      </c>
      <c r="I11" s="7"/>
      <c r="J11" s="6" t="s">
        <v>59</v>
      </c>
      <c r="L11" s="3" t="s">
        <v>60</v>
      </c>
    </row>
    <row r="12" ht="101.25" customHeight="1">
      <c r="A12" s="3"/>
      <c r="B12" s="6" t="s">
        <v>61</v>
      </c>
      <c r="C12" s="6" t="s">
        <v>62</v>
      </c>
      <c r="D12" s="7"/>
      <c r="E12" s="7"/>
      <c r="F12" s="6" t="s">
        <v>63</v>
      </c>
      <c r="G12" s="6" t="s">
        <v>64</v>
      </c>
      <c r="H12" s="7"/>
      <c r="I12" s="6" t="s">
        <v>65</v>
      </c>
      <c r="J12" s="7"/>
      <c r="L12" s="3" t="s">
        <v>66</v>
      </c>
    </row>
    <row r="13" ht="101.25" customHeight="1">
      <c r="A13" s="3"/>
      <c r="B13" s="6"/>
      <c r="C13" s="6" t="s">
        <v>67</v>
      </c>
      <c r="D13" s="7"/>
      <c r="E13" s="6" t="s">
        <v>68</v>
      </c>
      <c r="F13" s="6" t="s">
        <v>69</v>
      </c>
      <c r="G13" s="7"/>
      <c r="H13" s="6" t="s">
        <v>70</v>
      </c>
      <c r="I13" s="7"/>
      <c r="J13" s="7"/>
      <c r="L13" s="3" t="s">
        <v>71</v>
      </c>
    </row>
    <row r="14" ht="101.25" customHeight="1">
      <c r="A14" s="3"/>
      <c r="B14" s="6"/>
      <c r="C14" s="6" t="s">
        <v>72</v>
      </c>
      <c r="D14" s="6" t="s">
        <v>73</v>
      </c>
      <c r="E14" s="6" t="s">
        <v>74</v>
      </c>
      <c r="F14" s="6" t="s">
        <v>75</v>
      </c>
      <c r="G14" s="6" t="s">
        <v>76</v>
      </c>
      <c r="H14" s="7"/>
      <c r="I14" s="7"/>
      <c r="J14" s="7"/>
      <c r="L14" s="3" t="s">
        <v>77</v>
      </c>
    </row>
    <row r="15" ht="101.25" customHeight="1">
      <c r="A15" s="3"/>
      <c r="B15" s="6" t="s">
        <v>78</v>
      </c>
      <c r="C15" s="6" t="s">
        <v>79</v>
      </c>
      <c r="D15" s="7"/>
      <c r="E15" s="6" t="s">
        <v>80</v>
      </c>
      <c r="F15" s="7"/>
      <c r="G15" s="7"/>
      <c r="H15" s="6" t="s">
        <v>81</v>
      </c>
      <c r="I15" s="7"/>
      <c r="J15" s="7"/>
      <c r="L15" s="3" t="s">
        <v>82</v>
      </c>
    </row>
    <row r="16" ht="101.25" customHeight="1">
      <c r="A16" s="3"/>
      <c r="B16" s="6" t="s">
        <v>83</v>
      </c>
      <c r="C16" s="6" t="s">
        <v>84</v>
      </c>
      <c r="D16" s="6" t="s">
        <v>85</v>
      </c>
      <c r="E16" s="6" t="s">
        <v>86</v>
      </c>
      <c r="F16" s="6" t="s">
        <v>87</v>
      </c>
      <c r="G16" s="6" t="s">
        <v>88</v>
      </c>
      <c r="H16" s="6" t="s">
        <v>89</v>
      </c>
      <c r="I16" s="6" t="s">
        <v>90</v>
      </c>
      <c r="J16" s="7"/>
      <c r="L16" s="3" t="s">
        <v>91</v>
      </c>
    </row>
    <row r="17" ht="101.25" customHeight="1">
      <c r="A17" s="3"/>
      <c r="B17" s="6" t="s">
        <v>92</v>
      </c>
      <c r="C17" s="6" t="s">
        <v>93</v>
      </c>
      <c r="D17" s="7"/>
      <c r="E17" s="6" t="s">
        <v>94</v>
      </c>
      <c r="F17" s="6" t="s">
        <v>95</v>
      </c>
      <c r="G17" s="7"/>
      <c r="H17" s="6" t="s">
        <v>96</v>
      </c>
      <c r="I17" s="7"/>
      <c r="J17" s="7"/>
      <c r="L17" s="3" t="s">
        <v>97</v>
      </c>
    </row>
    <row r="18" ht="101.25" customHeight="1">
      <c r="A18" s="3"/>
      <c r="B18" s="6"/>
      <c r="C18" s="6" t="s">
        <v>98</v>
      </c>
      <c r="D18" s="7"/>
      <c r="E18" s="6" t="s">
        <v>99</v>
      </c>
      <c r="F18" s="6" t="s">
        <v>100</v>
      </c>
      <c r="G18" s="7"/>
      <c r="H18" s="6" t="s">
        <v>101</v>
      </c>
      <c r="I18" s="7"/>
      <c r="J18" s="7"/>
      <c r="L18" s="3" t="s">
        <v>102</v>
      </c>
    </row>
    <row r="19" ht="101.25" customHeight="1">
      <c r="A19" s="3"/>
      <c r="B19" s="6" t="s">
        <v>103</v>
      </c>
      <c r="C19" s="6" t="s">
        <v>104</v>
      </c>
      <c r="D19" s="7"/>
      <c r="E19" s="6" t="s">
        <v>105</v>
      </c>
      <c r="F19" s="6" t="s">
        <v>106</v>
      </c>
      <c r="G19" s="7"/>
      <c r="H19" s="6" t="s">
        <v>107</v>
      </c>
      <c r="I19" s="7"/>
      <c r="J19" s="7"/>
      <c r="L19" s="3" t="s">
        <v>108</v>
      </c>
    </row>
    <row r="20" ht="101.25" customHeight="1">
      <c r="A20" s="3"/>
      <c r="B20" s="6"/>
      <c r="C20" s="6" t="s">
        <v>109</v>
      </c>
      <c r="D20" s="7"/>
      <c r="E20" s="6" t="s">
        <v>110</v>
      </c>
      <c r="F20" s="6" t="s">
        <v>111</v>
      </c>
      <c r="G20" s="7"/>
      <c r="H20" s="6" t="s">
        <v>112</v>
      </c>
      <c r="I20" s="7"/>
      <c r="J20" s="7"/>
      <c r="L20" s="3" t="s">
        <v>113</v>
      </c>
    </row>
    <row r="21" ht="101.25" customHeight="1">
      <c r="A21" s="3"/>
      <c r="B21" s="6" t="s">
        <v>114</v>
      </c>
      <c r="C21" s="6" t="s">
        <v>115</v>
      </c>
      <c r="D21" s="6" t="s">
        <v>116</v>
      </c>
      <c r="E21" s="6" t="s">
        <v>117</v>
      </c>
      <c r="F21" s="6" t="s">
        <v>118</v>
      </c>
      <c r="G21" s="6" t="s">
        <v>119</v>
      </c>
      <c r="H21" s="7"/>
      <c r="I21" s="6" t="s">
        <v>120</v>
      </c>
      <c r="J21" s="7"/>
      <c r="L21" s="3" t="s">
        <v>121</v>
      </c>
    </row>
    <row r="22" ht="101.25" customHeight="1">
      <c r="A22" s="3"/>
      <c r="B22" s="6"/>
      <c r="C22" s="6" t="s">
        <v>122</v>
      </c>
      <c r="D22" s="7"/>
      <c r="E22" s="6" t="s">
        <v>123</v>
      </c>
      <c r="F22" s="6" t="s">
        <v>124</v>
      </c>
      <c r="G22" s="7"/>
      <c r="H22" s="7"/>
      <c r="I22" s="6" t="s">
        <v>125</v>
      </c>
      <c r="J22" s="7"/>
      <c r="L22" s="3" t="s">
        <v>126</v>
      </c>
    </row>
    <row r="23" ht="101.25" customHeight="1">
      <c r="A23" s="3"/>
      <c r="B23" s="6"/>
      <c r="C23" s="6" t="s">
        <v>127</v>
      </c>
      <c r="D23" s="7"/>
      <c r="E23" s="6" t="s">
        <v>128</v>
      </c>
      <c r="F23" s="6" t="s">
        <v>129</v>
      </c>
      <c r="G23" s="7"/>
      <c r="H23" s="6" t="s">
        <v>130</v>
      </c>
      <c r="I23" s="7"/>
      <c r="J23" s="7"/>
      <c r="L23" s="3" t="s">
        <v>131</v>
      </c>
    </row>
    <row r="24" ht="101.25" customHeight="1">
      <c r="A24" s="3"/>
      <c r="B24" s="6"/>
      <c r="C24" s="6" t="s">
        <v>132</v>
      </c>
      <c r="D24" s="7"/>
      <c r="E24" s="6" t="s">
        <v>133</v>
      </c>
      <c r="F24" s="6" t="s">
        <v>134</v>
      </c>
      <c r="G24" s="7"/>
      <c r="H24" s="6" t="s">
        <v>135</v>
      </c>
      <c r="I24" s="7"/>
      <c r="J24" s="7"/>
      <c r="L24" s="3" t="s">
        <v>136</v>
      </c>
    </row>
    <row r="25" ht="101.25" customHeight="1">
      <c r="A25" s="3"/>
      <c r="B25" s="6" t="s">
        <v>137</v>
      </c>
      <c r="C25" s="6" t="s">
        <v>138</v>
      </c>
      <c r="D25" s="6" t="s">
        <v>139</v>
      </c>
      <c r="E25" s="6" t="s">
        <v>140</v>
      </c>
      <c r="F25" s="6" t="s">
        <v>141</v>
      </c>
      <c r="G25" s="7"/>
      <c r="H25" s="6" t="s">
        <v>142</v>
      </c>
      <c r="I25" s="7"/>
      <c r="J25" s="7"/>
      <c r="L25" s="3" t="s">
        <v>143</v>
      </c>
    </row>
    <row r="26" ht="101.25" customHeight="1">
      <c r="A26" s="3"/>
      <c r="B26" s="6" t="s">
        <v>144</v>
      </c>
      <c r="C26" s="6" t="s">
        <v>145</v>
      </c>
      <c r="D26" s="7"/>
      <c r="E26" s="6" t="s">
        <v>146</v>
      </c>
      <c r="F26" s="7"/>
      <c r="G26" s="6" t="s">
        <v>147</v>
      </c>
      <c r="H26" s="6" t="s">
        <v>148</v>
      </c>
      <c r="I26" s="7"/>
      <c r="J26" s="7"/>
      <c r="L26" s="3" t="s">
        <v>149</v>
      </c>
    </row>
    <row r="27" ht="101.25" customHeight="1">
      <c r="A27" s="3"/>
      <c r="B27" s="6"/>
      <c r="C27" s="6" t="s">
        <v>150</v>
      </c>
      <c r="D27" s="7"/>
      <c r="E27" s="6" t="s">
        <v>151</v>
      </c>
      <c r="F27" s="6" t="s">
        <v>152</v>
      </c>
      <c r="G27" s="7"/>
      <c r="H27" s="7"/>
      <c r="I27" s="7"/>
      <c r="J27" s="7"/>
      <c r="L27" s="3" t="s">
        <v>153</v>
      </c>
    </row>
    <row r="28" ht="101.25" customHeight="1">
      <c r="A28" s="3"/>
      <c r="B28" s="6" t="s">
        <v>154</v>
      </c>
      <c r="C28" s="6" t="s">
        <v>155</v>
      </c>
      <c r="D28" s="6" t="s">
        <v>156</v>
      </c>
      <c r="E28" s="6" t="s">
        <v>157</v>
      </c>
      <c r="F28" s="6" t="s">
        <v>158</v>
      </c>
      <c r="G28" s="7"/>
      <c r="H28" s="6" t="s">
        <v>159</v>
      </c>
      <c r="I28" s="6"/>
      <c r="J28" s="7"/>
      <c r="L28" s="3" t="s">
        <v>160</v>
      </c>
    </row>
    <row r="29" ht="101.25" customHeight="1">
      <c r="A29" s="3"/>
      <c r="B29" s="6" t="s">
        <v>161</v>
      </c>
      <c r="C29" s="6" t="s">
        <v>162</v>
      </c>
      <c r="D29" s="7"/>
      <c r="E29" s="6" t="s">
        <v>163</v>
      </c>
      <c r="F29" s="6" t="s">
        <v>164</v>
      </c>
      <c r="G29" s="6" t="s">
        <v>165</v>
      </c>
      <c r="H29" s="7"/>
      <c r="I29" s="7"/>
      <c r="J29" s="7"/>
      <c r="L29" s="3" t="s">
        <v>166</v>
      </c>
    </row>
    <row r="30" ht="101.25" customHeight="1">
      <c r="A30" s="3"/>
      <c r="B30" s="6" t="s">
        <v>167</v>
      </c>
      <c r="C30" s="6" t="s">
        <v>168</v>
      </c>
      <c r="D30" s="7"/>
      <c r="E30" s="6" t="s">
        <v>169</v>
      </c>
      <c r="F30" s="7"/>
      <c r="G30" s="7"/>
      <c r="H30" s="7"/>
      <c r="I30" s="7"/>
      <c r="J30" s="7"/>
      <c r="L30" s="3" t="s">
        <v>170</v>
      </c>
    </row>
    <row r="31" ht="101.25" customHeight="1">
      <c r="A31" s="3"/>
      <c r="B31" s="6" t="s">
        <v>171</v>
      </c>
      <c r="C31" s="6" t="s">
        <v>172</v>
      </c>
      <c r="D31" s="7"/>
      <c r="E31" s="6" t="s">
        <v>173</v>
      </c>
      <c r="F31" s="7"/>
      <c r="G31" s="6" t="s">
        <v>174</v>
      </c>
      <c r="H31" s="6" t="s">
        <v>175</v>
      </c>
      <c r="I31" s="7"/>
      <c r="J31" s="7"/>
      <c r="L31" s="3" t="s">
        <v>176</v>
      </c>
    </row>
    <row r="32" ht="101.25" customHeight="1">
      <c r="A32" s="3"/>
      <c r="B32" s="6"/>
      <c r="C32" s="6" t="s">
        <v>177</v>
      </c>
      <c r="D32" s="7"/>
      <c r="E32" s="6" t="s">
        <v>178</v>
      </c>
      <c r="F32" s="6" t="s">
        <v>179</v>
      </c>
      <c r="G32" s="7"/>
      <c r="H32" s="6" t="s">
        <v>180</v>
      </c>
      <c r="I32" s="7"/>
      <c r="J32" s="7"/>
      <c r="L32" s="3" t="s">
        <v>181</v>
      </c>
    </row>
    <row r="33" ht="101.25" customHeight="1">
      <c r="A33" s="3"/>
      <c r="B33" s="6"/>
      <c r="C33" s="6" t="s">
        <v>182</v>
      </c>
      <c r="D33" s="6" t="s">
        <v>183</v>
      </c>
      <c r="E33" s="6" t="s">
        <v>184</v>
      </c>
      <c r="F33" s="6" t="s">
        <v>185</v>
      </c>
      <c r="G33" s="6" t="s">
        <v>186</v>
      </c>
      <c r="H33" s="6" t="s">
        <v>187</v>
      </c>
      <c r="I33" s="7"/>
      <c r="J33" s="7"/>
      <c r="L33" s="3" t="s">
        <v>188</v>
      </c>
    </row>
    <row r="34" ht="101.25" customHeight="1">
      <c r="A34" s="3"/>
      <c r="B34" s="6" t="s">
        <v>189</v>
      </c>
      <c r="C34" s="6" t="s">
        <v>190</v>
      </c>
      <c r="D34" s="7"/>
      <c r="E34" s="6" t="s">
        <v>191</v>
      </c>
      <c r="F34" s="6" t="s">
        <v>192</v>
      </c>
      <c r="G34" s="7"/>
      <c r="H34" s="6" t="s">
        <v>193</v>
      </c>
      <c r="I34" s="6" t="s">
        <v>194</v>
      </c>
      <c r="J34" s="7"/>
      <c r="L34" s="3" t="s">
        <v>195</v>
      </c>
    </row>
    <row r="35" ht="101.25" customHeight="1">
      <c r="A35" s="3"/>
      <c r="B35" s="6" t="s">
        <v>196</v>
      </c>
      <c r="C35" s="6" t="s">
        <v>197</v>
      </c>
      <c r="D35" s="7"/>
      <c r="E35" s="6" t="s">
        <v>198</v>
      </c>
      <c r="F35" s="7"/>
      <c r="G35" s="7"/>
      <c r="H35" s="6" t="s">
        <v>199</v>
      </c>
      <c r="I35" s="7"/>
      <c r="J35" s="7"/>
      <c r="L35" s="3" t="s">
        <v>200</v>
      </c>
    </row>
    <row r="36" ht="101.25" customHeight="1">
      <c r="A36" s="3"/>
      <c r="B36" s="6" t="s">
        <v>201</v>
      </c>
      <c r="C36" s="6" t="s">
        <v>202</v>
      </c>
      <c r="D36" s="7"/>
      <c r="E36" s="6" t="s">
        <v>203</v>
      </c>
      <c r="F36" s="6" t="s">
        <v>204</v>
      </c>
      <c r="G36" s="7"/>
      <c r="H36" s="6" t="s">
        <v>205</v>
      </c>
      <c r="I36" s="7"/>
      <c r="J36" s="7"/>
      <c r="L36" s="3" t="s">
        <v>206</v>
      </c>
    </row>
    <row r="37" ht="101.25" customHeight="1">
      <c r="A37" s="3"/>
      <c r="B37" s="6" t="s">
        <v>207</v>
      </c>
      <c r="C37" s="6" t="s">
        <v>208</v>
      </c>
      <c r="D37" s="7"/>
      <c r="E37" s="6" t="s">
        <v>209</v>
      </c>
      <c r="F37" s="6" t="s">
        <v>210</v>
      </c>
      <c r="G37" s="7"/>
      <c r="H37" s="6" t="s">
        <v>211</v>
      </c>
      <c r="I37" s="7"/>
      <c r="J37" s="7"/>
      <c r="L37" s="3" t="s">
        <v>212</v>
      </c>
    </row>
    <row r="38" ht="101.25" customHeight="1">
      <c r="A38" s="3"/>
      <c r="B38" s="6" t="s">
        <v>213</v>
      </c>
      <c r="C38" s="6" t="s">
        <v>214</v>
      </c>
      <c r="D38" s="7"/>
      <c r="E38" s="6" t="s">
        <v>215</v>
      </c>
      <c r="F38" s="6" t="s">
        <v>216</v>
      </c>
      <c r="G38" s="7"/>
      <c r="H38" s="6" t="s">
        <v>217</v>
      </c>
      <c r="I38" s="7"/>
      <c r="J38" s="6" t="s">
        <v>218</v>
      </c>
      <c r="L38" s="3" t="s">
        <v>219</v>
      </c>
    </row>
    <row r="39" ht="101.25" customHeight="1">
      <c r="A39" s="3"/>
      <c r="B39" s="6" t="s">
        <v>220</v>
      </c>
      <c r="C39" s="6" t="s">
        <v>221</v>
      </c>
      <c r="D39" s="7"/>
      <c r="E39" s="6" t="s">
        <v>222</v>
      </c>
      <c r="F39" s="6" t="s">
        <v>223</v>
      </c>
      <c r="G39" s="7"/>
      <c r="H39" s="6" t="s">
        <v>224</v>
      </c>
      <c r="I39" s="7"/>
      <c r="J39" s="7"/>
      <c r="L39" s="3" t="s">
        <v>225</v>
      </c>
    </row>
    <row r="40" ht="101.25" customHeight="1">
      <c r="A40" s="3"/>
      <c r="B40" s="6" t="s">
        <v>226</v>
      </c>
      <c r="C40" s="6" t="s">
        <v>227</v>
      </c>
      <c r="D40" s="7"/>
      <c r="E40" s="6" t="s">
        <v>228</v>
      </c>
      <c r="F40" s="6" t="s">
        <v>229</v>
      </c>
      <c r="G40" s="7"/>
      <c r="H40" s="7"/>
      <c r="I40" s="7"/>
      <c r="J40" s="7"/>
      <c r="L40" s="3" t="s">
        <v>230</v>
      </c>
    </row>
    <row r="41" ht="101.25" customHeight="1">
      <c r="A41" s="3"/>
      <c r="B41" s="6" t="s">
        <v>231</v>
      </c>
      <c r="C41" s="6" t="s">
        <v>232</v>
      </c>
      <c r="D41" s="7"/>
      <c r="E41" s="6" t="s">
        <v>233</v>
      </c>
      <c r="F41" s="6" t="s">
        <v>234</v>
      </c>
      <c r="G41" s="7"/>
      <c r="H41" s="6" t="s">
        <v>235</v>
      </c>
      <c r="I41" s="7"/>
      <c r="J41" s="7"/>
      <c r="L41" s="3" t="s">
        <v>236</v>
      </c>
    </row>
    <row r="42" ht="101.25" customHeight="1">
      <c r="A42" s="3"/>
      <c r="B42" s="6" t="s">
        <v>237</v>
      </c>
      <c r="C42" s="6" t="s">
        <v>238</v>
      </c>
      <c r="D42" s="7"/>
      <c r="E42" s="6" t="s">
        <v>239</v>
      </c>
      <c r="F42" s="6" t="s">
        <v>240</v>
      </c>
      <c r="G42" s="7"/>
      <c r="H42" s="6" t="s">
        <v>241</v>
      </c>
      <c r="I42" s="7"/>
      <c r="J42" s="7"/>
      <c r="L42" s="3" t="s">
        <v>242</v>
      </c>
    </row>
    <row r="43" ht="101.25" customHeight="1">
      <c r="A43" s="3"/>
      <c r="B43" s="6" t="s">
        <v>243</v>
      </c>
      <c r="C43" s="6" t="s">
        <v>244</v>
      </c>
      <c r="D43" s="6" t="s">
        <v>245</v>
      </c>
      <c r="E43" s="6" t="s">
        <v>246</v>
      </c>
      <c r="F43" s="6" t="s">
        <v>247</v>
      </c>
      <c r="G43" s="6" t="s">
        <v>248</v>
      </c>
      <c r="H43" s="6" t="s">
        <v>249</v>
      </c>
      <c r="I43" s="6" t="s">
        <v>250</v>
      </c>
      <c r="J43" s="7"/>
      <c r="L43" s="3" t="s">
        <v>251</v>
      </c>
    </row>
    <row r="44" ht="101.25" customHeight="1">
      <c r="A44" s="3"/>
      <c r="B44" s="6"/>
      <c r="C44" s="6" t="s">
        <v>252</v>
      </c>
      <c r="D44" s="6" t="s">
        <v>253</v>
      </c>
      <c r="E44" s="6" t="s">
        <v>254</v>
      </c>
      <c r="F44" s="6" t="s">
        <v>255</v>
      </c>
      <c r="G44" s="6" t="s">
        <v>256</v>
      </c>
      <c r="H44" s="6" t="s">
        <v>257</v>
      </c>
      <c r="I44" s="6" t="s">
        <v>258</v>
      </c>
      <c r="J44" s="7"/>
      <c r="L44" s="3" t="s">
        <v>259</v>
      </c>
    </row>
    <row r="45" ht="101.25" customHeight="1">
      <c r="A45" s="3"/>
      <c r="B45" s="6" t="s">
        <v>260</v>
      </c>
      <c r="C45" s="6" t="s">
        <v>261</v>
      </c>
      <c r="D45" s="6" t="s">
        <v>262</v>
      </c>
      <c r="E45" s="6" t="s">
        <v>263</v>
      </c>
      <c r="F45" s="6" t="s">
        <v>264</v>
      </c>
      <c r="G45" s="6" t="s">
        <v>265</v>
      </c>
      <c r="H45" s="6" t="s">
        <v>266</v>
      </c>
      <c r="I45" s="7"/>
      <c r="J45" s="7"/>
      <c r="L45" s="3" t="s">
        <v>267</v>
      </c>
    </row>
    <row r="46" ht="101.25" customHeight="1">
      <c r="A46" s="3"/>
      <c r="B46" s="6" t="s">
        <v>268</v>
      </c>
      <c r="C46" s="6" t="s">
        <v>269</v>
      </c>
      <c r="D46" s="7"/>
      <c r="E46" s="6" t="s">
        <v>270</v>
      </c>
      <c r="F46" s="6" t="s">
        <v>271</v>
      </c>
      <c r="G46" s="6" t="s">
        <v>272</v>
      </c>
      <c r="H46" s="6" t="s">
        <v>273</v>
      </c>
      <c r="I46" s="7"/>
      <c r="J46" s="7"/>
      <c r="L46" s="3" t="s">
        <v>274</v>
      </c>
    </row>
    <row r="47" ht="101.25" customHeight="1">
      <c r="A47" s="3"/>
      <c r="B47" s="6" t="s">
        <v>275</v>
      </c>
      <c r="C47" s="6" t="s">
        <v>276</v>
      </c>
      <c r="D47" s="6" t="s">
        <v>277</v>
      </c>
      <c r="E47" s="6" t="s">
        <v>278</v>
      </c>
      <c r="F47" s="6" t="s">
        <v>279</v>
      </c>
      <c r="G47" s="6" t="s">
        <v>280</v>
      </c>
      <c r="H47" s="6" t="s">
        <v>281</v>
      </c>
      <c r="I47" s="6" t="s">
        <v>282</v>
      </c>
      <c r="J47" s="7"/>
      <c r="L47" s="3" t="s">
        <v>283</v>
      </c>
    </row>
    <row r="48" ht="101.25" customHeight="1">
      <c r="A48" s="3"/>
      <c r="B48" s="6" t="s">
        <v>284</v>
      </c>
      <c r="C48" s="6" t="s">
        <v>285</v>
      </c>
      <c r="D48" s="7"/>
      <c r="E48" s="6" t="s">
        <v>286</v>
      </c>
      <c r="F48" s="6" t="s">
        <v>287</v>
      </c>
      <c r="G48" s="7"/>
      <c r="H48" s="6" t="s">
        <v>288</v>
      </c>
      <c r="I48" s="7"/>
      <c r="J48" s="7"/>
      <c r="L48" s="3" t="s">
        <v>289</v>
      </c>
    </row>
    <row r="49" ht="101.25" customHeight="1">
      <c r="A49" s="3"/>
      <c r="B49" s="6"/>
      <c r="C49" s="6" t="s">
        <v>290</v>
      </c>
      <c r="D49" s="6" t="s">
        <v>291</v>
      </c>
      <c r="E49" s="6" t="s">
        <v>292</v>
      </c>
      <c r="F49" s="6" t="s">
        <v>293</v>
      </c>
      <c r="G49" s="6" t="s">
        <v>294</v>
      </c>
      <c r="H49" s="6" t="s">
        <v>295</v>
      </c>
      <c r="I49" s="6" t="s">
        <v>296</v>
      </c>
      <c r="J49" s="7"/>
      <c r="L49" s="3" t="s">
        <v>297</v>
      </c>
    </row>
    <row r="50" ht="101.25" customHeight="1">
      <c r="A50" s="3"/>
      <c r="B50" s="6" t="s">
        <v>298</v>
      </c>
      <c r="C50" s="6" t="s">
        <v>299</v>
      </c>
      <c r="D50" s="7"/>
      <c r="E50" s="6" t="s">
        <v>300</v>
      </c>
      <c r="F50" s="6" t="s">
        <v>301</v>
      </c>
      <c r="G50" s="7"/>
      <c r="H50" s="6" t="s">
        <v>302</v>
      </c>
      <c r="I50" s="6" t="s">
        <v>303</v>
      </c>
      <c r="J50" s="7"/>
      <c r="L50" s="3" t="s">
        <v>304</v>
      </c>
    </row>
    <row r="51" ht="101.25" customHeight="1">
      <c r="A51" s="3"/>
      <c r="B51" s="6" t="s">
        <v>305</v>
      </c>
      <c r="C51" s="6" t="s">
        <v>306</v>
      </c>
      <c r="D51" s="7"/>
      <c r="E51" s="6" t="s">
        <v>307</v>
      </c>
      <c r="F51" s="6" t="s">
        <v>308</v>
      </c>
      <c r="G51" s="7"/>
      <c r="H51" s="6" t="s">
        <v>309</v>
      </c>
      <c r="I51" s="6" t="s">
        <v>310</v>
      </c>
      <c r="J51" s="7"/>
      <c r="L51" s="3" t="s">
        <v>311</v>
      </c>
    </row>
    <row r="52" ht="101.25" customHeight="1">
      <c r="A52" s="3"/>
      <c r="B52" s="6" t="s">
        <v>312</v>
      </c>
      <c r="C52" s="6" t="s">
        <v>313</v>
      </c>
      <c r="D52" s="7"/>
      <c r="E52" s="6" t="s">
        <v>314</v>
      </c>
      <c r="F52" s="6" t="s">
        <v>315</v>
      </c>
      <c r="G52" s="7"/>
      <c r="H52" s="6" t="s">
        <v>316</v>
      </c>
      <c r="I52" s="7"/>
      <c r="J52" s="7"/>
      <c r="L52" s="3" t="s">
        <v>317</v>
      </c>
    </row>
    <row r="53" ht="101.25" customHeight="1">
      <c r="A53" s="3"/>
      <c r="B53" s="6" t="s">
        <v>318</v>
      </c>
      <c r="C53" s="6" t="s">
        <v>319</v>
      </c>
      <c r="D53" s="6" t="s">
        <v>320</v>
      </c>
      <c r="E53" s="6" t="s">
        <v>321</v>
      </c>
      <c r="F53" s="6" t="s">
        <v>322</v>
      </c>
      <c r="G53" s="7"/>
      <c r="H53" s="6" t="s">
        <v>323</v>
      </c>
      <c r="I53" s="7"/>
      <c r="J53" s="7"/>
      <c r="L53" s="3" t="s">
        <v>324</v>
      </c>
    </row>
    <row r="54" ht="101.25" customHeight="1">
      <c r="A54" s="3"/>
      <c r="B54" s="6" t="s">
        <v>325</v>
      </c>
      <c r="C54" s="6" t="s">
        <v>326</v>
      </c>
      <c r="D54" s="7"/>
      <c r="E54" s="6" t="s">
        <v>327</v>
      </c>
      <c r="F54" s="6" t="s">
        <v>328</v>
      </c>
      <c r="G54" s="7"/>
      <c r="H54" s="6" t="s">
        <v>329</v>
      </c>
      <c r="I54" s="7"/>
      <c r="J54" s="7"/>
      <c r="L54" s="3" t="s">
        <v>330</v>
      </c>
    </row>
    <row r="55" ht="101.25" customHeight="1">
      <c r="A55" s="3"/>
      <c r="B55" s="6" t="s">
        <v>331</v>
      </c>
      <c r="C55" s="6" t="s">
        <v>332</v>
      </c>
      <c r="D55" s="7"/>
      <c r="E55" s="6" t="s">
        <v>333</v>
      </c>
      <c r="F55" s="6" t="s">
        <v>334</v>
      </c>
      <c r="G55" s="6" t="s">
        <v>335</v>
      </c>
      <c r="H55" s="6" t="s">
        <v>336</v>
      </c>
      <c r="I55" s="6" t="s">
        <v>337</v>
      </c>
      <c r="J55" s="7"/>
      <c r="L55" s="3" t="s">
        <v>338</v>
      </c>
    </row>
    <row r="56" ht="101.25" customHeight="1">
      <c r="A56" s="3"/>
      <c r="B56" s="6" t="s">
        <v>339</v>
      </c>
      <c r="C56" s="6" t="s">
        <v>340</v>
      </c>
      <c r="D56" s="7"/>
      <c r="E56" s="6" t="s">
        <v>341</v>
      </c>
      <c r="F56" s="7"/>
      <c r="G56" s="7"/>
      <c r="H56" s="6" t="s">
        <v>342</v>
      </c>
      <c r="I56" s="6" t="s">
        <v>343</v>
      </c>
      <c r="J56" s="7"/>
      <c r="L56" s="3" t="s">
        <v>344</v>
      </c>
    </row>
    <row r="57" ht="101.25" customHeight="1">
      <c r="A57" s="3"/>
      <c r="B57" s="6"/>
      <c r="C57" s="6" t="s">
        <v>345</v>
      </c>
      <c r="D57" s="7"/>
      <c r="E57" s="6" t="s">
        <v>346</v>
      </c>
      <c r="F57" s="6" t="s">
        <v>347</v>
      </c>
      <c r="G57" s="7"/>
      <c r="H57" s="6" t="s">
        <v>348</v>
      </c>
      <c r="I57" s="7"/>
      <c r="J57" s="7"/>
      <c r="L57" s="3" t="s">
        <v>349</v>
      </c>
    </row>
    <row r="58" ht="101.25" customHeight="1">
      <c r="A58" s="3"/>
      <c r="B58" s="6" t="s">
        <v>350</v>
      </c>
      <c r="C58" s="6" t="s">
        <v>351</v>
      </c>
      <c r="D58" s="7"/>
      <c r="E58" s="6" t="s">
        <v>352</v>
      </c>
      <c r="F58" s="7"/>
      <c r="G58" s="7"/>
      <c r="H58" s="6" t="s">
        <v>353</v>
      </c>
      <c r="I58" s="7"/>
      <c r="J58" s="7"/>
      <c r="L58" s="3" t="s">
        <v>354</v>
      </c>
    </row>
    <row r="59" ht="101.25" customHeight="1">
      <c r="A59" s="3"/>
      <c r="B59" s="6" t="s">
        <v>355</v>
      </c>
      <c r="C59" s="6" t="s">
        <v>356</v>
      </c>
      <c r="D59" s="7"/>
      <c r="E59" s="6" t="s">
        <v>357</v>
      </c>
      <c r="F59" s="7"/>
      <c r="G59" s="7"/>
      <c r="H59" s="6" t="s">
        <v>358</v>
      </c>
      <c r="I59" s="7"/>
      <c r="J59" s="7"/>
      <c r="L59" s="3" t="s">
        <v>359</v>
      </c>
    </row>
    <row r="60" ht="101.25" customHeight="1">
      <c r="A60" s="3"/>
      <c r="B60" s="6" t="s">
        <v>360</v>
      </c>
      <c r="C60" s="6" t="s">
        <v>361</v>
      </c>
      <c r="D60" s="7"/>
      <c r="E60" s="6" t="s">
        <v>362</v>
      </c>
      <c r="F60" s="6" t="s">
        <v>363</v>
      </c>
      <c r="G60" s="7"/>
      <c r="H60" s="6" t="s">
        <v>364</v>
      </c>
      <c r="I60" s="6" t="s">
        <v>365</v>
      </c>
      <c r="J60" s="7"/>
      <c r="L60" s="3" t="s">
        <v>366</v>
      </c>
    </row>
    <row r="61" ht="101.25" customHeight="1">
      <c r="A61" s="3"/>
      <c r="B61" s="6" t="s">
        <v>367</v>
      </c>
      <c r="C61" s="6" t="s">
        <v>368</v>
      </c>
      <c r="D61" s="7"/>
      <c r="E61" s="6" t="s">
        <v>369</v>
      </c>
      <c r="F61" s="6" t="s">
        <v>370</v>
      </c>
      <c r="G61" s="7"/>
      <c r="H61" s="6" t="s">
        <v>371</v>
      </c>
      <c r="I61" s="6" t="s">
        <v>372</v>
      </c>
      <c r="J61" s="7"/>
      <c r="L61" s="3" t="s">
        <v>373</v>
      </c>
    </row>
    <row r="62" ht="101.25" customHeight="1">
      <c r="A62" s="3"/>
      <c r="B62" s="6" t="s">
        <v>374</v>
      </c>
      <c r="C62" s="6" t="s">
        <v>375</v>
      </c>
      <c r="D62" s="7"/>
      <c r="E62" s="6" t="s">
        <v>376</v>
      </c>
      <c r="F62" s="6" t="s">
        <v>377</v>
      </c>
      <c r="G62" s="7"/>
      <c r="H62" s="6" t="s">
        <v>378</v>
      </c>
      <c r="I62" s="7"/>
      <c r="J62" s="7"/>
      <c r="L62" s="3" t="s">
        <v>379</v>
      </c>
    </row>
    <row r="63" ht="101.25" customHeight="1">
      <c r="A63" s="3"/>
      <c r="B63" s="6" t="s">
        <v>380</v>
      </c>
      <c r="C63" s="7"/>
      <c r="D63" s="7"/>
      <c r="E63" s="6" t="s">
        <v>381</v>
      </c>
      <c r="F63" s="7"/>
      <c r="G63" s="7"/>
      <c r="H63" s="6" t="s">
        <v>382</v>
      </c>
      <c r="I63" s="7"/>
      <c r="J63" s="7"/>
      <c r="L63" s="3" t="s">
        <v>383</v>
      </c>
    </row>
    <row r="64" ht="101.25" customHeight="1">
      <c r="A64" s="3"/>
      <c r="B64" s="6" t="s">
        <v>384</v>
      </c>
      <c r="C64" s="6" t="s">
        <v>385</v>
      </c>
      <c r="D64" s="6" t="s">
        <v>386</v>
      </c>
      <c r="E64" s="6" t="s">
        <v>387</v>
      </c>
      <c r="F64" s="6" t="s">
        <v>388</v>
      </c>
      <c r="G64" s="6" t="s">
        <v>389</v>
      </c>
      <c r="H64" s="6" t="s">
        <v>390</v>
      </c>
      <c r="I64" s="6" t="s">
        <v>391</v>
      </c>
      <c r="J64" s="6" t="s">
        <v>392</v>
      </c>
      <c r="L64" s="3" t="s">
        <v>393</v>
      </c>
    </row>
    <row r="65" ht="101.25" customHeight="1">
      <c r="A65" s="3"/>
      <c r="B65" s="6" t="s">
        <v>394</v>
      </c>
      <c r="C65" s="7"/>
      <c r="D65" s="7"/>
      <c r="E65" s="6" t="s">
        <v>395</v>
      </c>
      <c r="F65" s="7"/>
      <c r="G65" s="7"/>
      <c r="H65" s="6" t="s">
        <v>396</v>
      </c>
      <c r="I65" s="7"/>
      <c r="J65" s="7"/>
      <c r="L65" s="3" t="s">
        <v>397</v>
      </c>
    </row>
    <row r="66" ht="101.25" customHeight="1">
      <c r="A66" s="3"/>
      <c r="B66" s="6" t="s">
        <v>398</v>
      </c>
      <c r="C66" s="6" t="s">
        <v>399</v>
      </c>
      <c r="D66" s="7"/>
      <c r="E66" s="6" t="s">
        <v>400</v>
      </c>
      <c r="F66" s="6" t="s">
        <v>401</v>
      </c>
      <c r="G66" s="6" t="s">
        <v>402</v>
      </c>
      <c r="H66" s="6" t="s">
        <v>403</v>
      </c>
      <c r="I66" s="6" t="s">
        <v>404</v>
      </c>
      <c r="J66" s="7"/>
      <c r="L66" s="3" t="s">
        <v>405</v>
      </c>
    </row>
    <row r="67" ht="101.25" customHeight="1">
      <c r="A67" s="3"/>
      <c r="B67" s="6" t="s">
        <v>406</v>
      </c>
      <c r="C67" s="6" t="s">
        <v>407</v>
      </c>
      <c r="D67" s="7"/>
      <c r="E67" s="6" t="s">
        <v>408</v>
      </c>
      <c r="F67" s="7"/>
      <c r="G67" s="7"/>
      <c r="H67" s="6" t="s">
        <v>409</v>
      </c>
      <c r="I67" s="7"/>
      <c r="J67" s="7"/>
      <c r="L67" s="3" t="s">
        <v>410</v>
      </c>
    </row>
    <row r="68" ht="101.25" customHeight="1">
      <c r="A68" s="3"/>
      <c r="B68" s="6" t="s">
        <v>411</v>
      </c>
      <c r="C68" s="6" t="s">
        <v>412</v>
      </c>
      <c r="D68" s="6" t="s">
        <v>413</v>
      </c>
      <c r="E68" s="6" t="s">
        <v>414</v>
      </c>
      <c r="F68" s="6" t="s">
        <v>415</v>
      </c>
      <c r="G68" s="7"/>
      <c r="H68" s="6" t="s">
        <v>416</v>
      </c>
      <c r="I68" s="7"/>
      <c r="J68" s="7"/>
      <c r="L68" s="3" t="s">
        <v>417</v>
      </c>
    </row>
    <row r="69" ht="101.25" customHeight="1">
      <c r="A69" s="3"/>
      <c r="B69" s="6" t="s">
        <v>418</v>
      </c>
      <c r="C69" s="6" t="s">
        <v>419</v>
      </c>
      <c r="D69" s="7"/>
      <c r="E69" s="6" t="s">
        <v>420</v>
      </c>
      <c r="F69" s="6" t="s">
        <v>421</v>
      </c>
      <c r="G69" s="7"/>
      <c r="H69" s="6" t="s">
        <v>422</v>
      </c>
      <c r="I69" s="6" t="s">
        <v>423</v>
      </c>
      <c r="J69" s="7"/>
      <c r="L69" s="3" t="s">
        <v>424</v>
      </c>
    </row>
    <row r="70" ht="101.25" customHeight="1">
      <c r="A70" s="3"/>
      <c r="B70" s="6" t="s">
        <v>425</v>
      </c>
      <c r="C70" s="7"/>
      <c r="D70" s="7"/>
      <c r="E70" s="6" t="s">
        <v>426</v>
      </c>
      <c r="F70" s="6" t="s">
        <v>427</v>
      </c>
      <c r="G70" s="7"/>
      <c r="H70" s="7"/>
      <c r="I70" s="6" t="s">
        <v>428</v>
      </c>
      <c r="J70" s="7"/>
      <c r="L70" s="3" t="s">
        <v>429</v>
      </c>
    </row>
    <row r="71" ht="101.25" customHeight="1">
      <c r="A71" s="3"/>
      <c r="B71" s="6" t="s">
        <v>430</v>
      </c>
      <c r="C71" s="7"/>
      <c r="D71" s="7"/>
      <c r="E71" s="6" t="s">
        <v>431</v>
      </c>
      <c r="F71" s="6" t="s">
        <v>432</v>
      </c>
      <c r="G71" s="6" t="s">
        <v>433</v>
      </c>
      <c r="H71" s="6" t="s">
        <v>434</v>
      </c>
      <c r="I71" s="7"/>
      <c r="J71" s="7"/>
      <c r="L71" s="3" t="s">
        <v>435</v>
      </c>
    </row>
    <row r="72" ht="101.25" customHeight="1">
      <c r="A72" s="3"/>
      <c r="B72" s="6" t="s">
        <v>436</v>
      </c>
      <c r="C72" s="6" t="s">
        <v>437</v>
      </c>
      <c r="D72" s="6" t="s">
        <v>438</v>
      </c>
      <c r="E72" s="6" t="s">
        <v>439</v>
      </c>
      <c r="F72" s="6" t="s">
        <v>440</v>
      </c>
      <c r="G72" s="6" t="s">
        <v>441</v>
      </c>
      <c r="H72" s="6" t="s">
        <v>442</v>
      </c>
      <c r="I72" s="7"/>
      <c r="J72" s="7"/>
      <c r="L72" s="3" t="s">
        <v>443</v>
      </c>
    </row>
    <row r="73" ht="101.25" customHeight="1">
      <c r="A73" s="3"/>
      <c r="B73" s="6" t="s">
        <v>444</v>
      </c>
      <c r="C73" s="6" t="s">
        <v>445</v>
      </c>
      <c r="D73" s="7"/>
      <c r="E73" s="6" t="s">
        <v>446</v>
      </c>
      <c r="F73" s="6" t="s">
        <v>447</v>
      </c>
      <c r="G73" s="6" t="s">
        <v>448</v>
      </c>
      <c r="H73" s="6" t="s">
        <v>449</v>
      </c>
      <c r="I73" s="7"/>
      <c r="J73" s="7"/>
      <c r="L73" s="3" t="s">
        <v>450</v>
      </c>
    </row>
    <row r="74" ht="101.25" customHeight="1">
      <c r="A74" s="3"/>
      <c r="B74" s="6" t="s">
        <v>451</v>
      </c>
      <c r="C74" s="6" t="s">
        <v>452</v>
      </c>
      <c r="D74" s="7"/>
      <c r="E74" s="6" t="s">
        <v>453</v>
      </c>
      <c r="F74" s="6" t="s">
        <v>454</v>
      </c>
      <c r="G74" s="7"/>
      <c r="H74" s="6" t="s">
        <v>455</v>
      </c>
      <c r="I74" s="7"/>
      <c r="J74" s="7"/>
      <c r="L74" s="3" t="s">
        <v>456</v>
      </c>
    </row>
    <row r="75" ht="101.25" customHeight="1">
      <c r="A75" s="3"/>
      <c r="B75" s="6" t="s">
        <v>457</v>
      </c>
      <c r="C75" s="6" t="s">
        <v>458</v>
      </c>
      <c r="D75" s="7"/>
      <c r="E75" s="6" t="s">
        <v>459</v>
      </c>
      <c r="F75" s="6" t="s">
        <v>460</v>
      </c>
      <c r="G75" s="7"/>
      <c r="H75" s="7"/>
      <c r="I75" s="6" t="s">
        <v>461</v>
      </c>
      <c r="J75" s="7"/>
      <c r="L75" s="3" t="s">
        <v>462</v>
      </c>
    </row>
    <row r="76" ht="101.25" customHeight="1">
      <c r="A76" s="3"/>
      <c r="B76" s="6"/>
      <c r="C76" s="6" t="s">
        <v>463</v>
      </c>
      <c r="D76" s="7"/>
      <c r="E76" s="6" t="s">
        <v>464</v>
      </c>
      <c r="F76" s="6" t="s">
        <v>465</v>
      </c>
      <c r="G76" s="6" t="s">
        <v>466</v>
      </c>
      <c r="H76" s="6" t="s">
        <v>467</v>
      </c>
      <c r="I76" s="7"/>
      <c r="J76" s="7"/>
      <c r="L76" s="3" t="s">
        <v>468</v>
      </c>
    </row>
    <row r="77" ht="101.25" customHeight="1">
      <c r="A77" s="3"/>
      <c r="B77" s="6" t="s">
        <v>469</v>
      </c>
      <c r="C77" s="6" t="s">
        <v>470</v>
      </c>
      <c r="D77" s="7"/>
      <c r="E77" s="6" t="s">
        <v>471</v>
      </c>
      <c r="F77" s="6" t="s">
        <v>472</v>
      </c>
      <c r="G77" s="7"/>
      <c r="H77" s="7"/>
      <c r="I77" s="7"/>
      <c r="J77" s="7"/>
      <c r="L77" s="3" t="s">
        <v>473</v>
      </c>
    </row>
    <row r="78" ht="101.25" customHeight="1">
      <c r="A78" s="3"/>
      <c r="B78" s="6" t="s">
        <v>474</v>
      </c>
      <c r="C78" s="6" t="s">
        <v>475</v>
      </c>
      <c r="D78" s="7"/>
      <c r="E78" s="6" t="s">
        <v>476</v>
      </c>
      <c r="F78" s="6" t="s">
        <v>477</v>
      </c>
      <c r="G78" s="6" t="s">
        <v>478</v>
      </c>
      <c r="H78" s="6" t="s">
        <v>479</v>
      </c>
      <c r="I78" s="7"/>
      <c r="J78" s="7"/>
      <c r="L78" s="3" t="s">
        <v>480</v>
      </c>
    </row>
    <row r="79" ht="101.25" customHeight="1">
      <c r="A79" s="3"/>
      <c r="B79" s="6" t="s">
        <v>481</v>
      </c>
      <c r="C79" s="6" t="s">
        <v>482</v>
      </c>
      <c r="D79" s="6" t="s">
        <v>483</v>
      </c>
      <c r="E79" s="7"/>
      <c r="F79" s="6" t="s">
        <v>484</v>
      </c>
      <c r="G79" s="6" t="s">
        <v>485</v>
      </c>
      <c r="H79" s="6" t="s">
        <v>486</v>
      </c>
      <c r="I79" s="6" t="s">
        <v>487</v>
      </c>
      <c r="J79" s="7"/>
      <c r="L79" s="3" t="s">
        <v>488</v>
      </c>
    </row>
    <row r="80" ht="101.25" customHeight="1">
      <c r="A80" s="3"/>
      <c r="B80" s="6" t="s">
        <v>489</v>
      </c>
      <c r="C80" s="6" t="s">
        <v>490</v>
      </c>
      <c r="D80" s="7"/>
      <c r="E80" s="6" t="s">
        <v>491</v>
      </c>
      <c r="F80" s="6" t="s">
        <v>492</v>
      </c>
      <c r="G80" s="6" t="s">
        <v>493</v>
      </c>
      <c r="H80" s="6" t="s">
        <v>494</v>
      </c>
      <c r="I80" s="7"/>
      <c r="J80" s="7"/>
      <c r="L80" s="3" t="s">
        <v>495</v>
      </c>
    </row>
    <row r="81" ht="101.25" customHeight="1">
      <c r="A81" s="3"/>
      <c r="B81" s="6" t="s">
        <v>496</v>
      </c>
      <c r="C81" s="6" t="s">
        <v>497</v>
      </c>
      <c r="D81" s="7"/>
      <c r="E81" s="6" t="s">
        <v>498</v>
      </c>
      <c r="F81" s="6" t="s">
        <v>499</v>
      </c>
      <c r="G81" s="6" t="s">
        <v>500</v>
      </c>
      <c r="H81" s="7"/>
      <c r="I81" s="7"/>
      <c r="J81" s="7"/>
      <c r="L81" s="3" t="s">
        <v>501</v>
      </c>
    </row>
    <row r="82" ht="101.25" customHeight="1">
      <c r="A82" s="3"/>
      <c r="B82" s="6" t="s">
        <v>502</v>
      </c>
      <c r="C82" s="6" t="s">
        <v>503</v>
      </c>
      <c r="D82" s="7"/>
      <c r="E82" s="6" t="s">
        <v>504</v>
      </c>
      <c r="F82" s="6" t="s">
        <v>505</v>
      </c>
      <c r="G82" s="6" t="s">
        <v>506</v>
      </c>
      <c r="H82" s="6" t="s">
        <v>507</v>
      </c>
      <c r="I82" s="6" t="s">
        <v>508</v>
      </c>
      <c r="J82" s="7"/>
      <c r="L82" s="3" t="s">
        <v>509</v>
      </c>
    </row>
    <row r="83" ht="101.25" customHeight="1">
      <c r="A83" s="3"/>
      <c r="B83" s="6" t="s">
        <v>510</v>
      </c>
      <c r="C83" s="6" t="s">
        <v>511</v>
      </c>
      <c r="D83" s="7"/>
      <c r="E83" s="6" t="s">
        <v>512</v>
      </c>
      <c r="F83" s="6" t="s">
        <v>513</v>
      </c>
      <c r="G83" s="6" t="s">
        <v>514</v>
      </c>
      <c r="H83" s="6" t="s">
        <v>515</v>
      </c>
      <c r="I83" s="6" t="s">
        <v>516</v>
      </c>
      <c r="J83" s="7"/>
      <c r="L83" s="3" t="s">
        <v>517</v>
      </c>
    </row>
    <row r="84" ht="101.25" customHeight="1">
      <c r="A84" s="3"/>
      <c r="B84" s="6" t="s">
        <v>518</v>
      </c>
      <c r="C84" s="6" t="s">
        <v>519</v>
      </c>
      <c r="D84" s="7"/>
      <c r="E84" s="6" t="s">
        <v>520</v>
      </c>
      <c r="F84" s="6" t="s">
        <v>521</v>
      </c>
      <c r="G84" s="6" t="s">
        <v>522</v>
      </c>
      <c r="H84" s="7"/>
      <c r="I84" s="7"/>
      <c r="J84" s="7"/>
      <c r="L84" s="3" t="s">
        <v>523</v>
      </c>
    </row>
    <row r="85" ht="101.25" customHeight="1">
      <c r="A85" s="3"/>
      <c r="B85" s="6" t="s">
        <v>524</v>
      </c>
      <c r="C85" s="6" t="s">
        <v>525</v>
      </c>
      <c r="D85" s="6" t="s">
        <v>526</v>
      </c>
      <c r="E85" s="6" t="s">
        <v>527</v>
      </c>
      <c r="F85" s="6" t="s">
        <v>528</v>
      </c>
      <c r="G85" s="6" t="s">
        <v>529</v>
      </c>
      <c r="H85" s="6" t="s">
        <v>530</v>
      </c>
      <c r="I85" s="7"/>
      <c r="J85" s="7"/>
      <c r="L85" s="3" t="s">
        <v>531</v>
      </c>
    </row>
    <row r="86" ht="101.25" customHeight="1">
      <c r="A86" s="3"/>
      <c r="B86" s="6" t="s">
        <v>532</v>
      </c>
      <c r="C86" s="6" t="s">
        <v>533</v>
      </c>
      <c r="D86" s="7"/>
      <c r="E86" s="6" t="s">
        <v>534</v>
      </c>
      <c r="F86" s="6" t="s">
        <v>535</v>
      </c>
      <c r="G86" s="6" t="s">
        <v>536</v>
      </c>
      <c r="H86" s="6" t="s">
        <v>537</v>
      </c>
      <c r="I86" s="6" t="s">
        <v>538</v>
      </c>
      <c r="J86" s="6" t="s">
        <v>539</v>
      </c>
      <c r="L86" s="3" t="s">
        <v>540</v>
      </c>
    </row>
    <row r="87" ht="101.25" customHeight="1">
      <c r="A87" s="3"/>
      <c r="B87" s="6" t="s">
        <v>541</v>
      </c>
      <c r="C87" s="6" t="s">
        <v>542</v>
      </c>
      <c r="D87" s="7"/>
      <c r="E87" s="6" t="s">
        <v>543</v>
      </c>
      <c r="F87" s="6" t="s">
        <v>544</v>
      </c>
      <c r="G87" s="6" t="s">
        <v>545</v>
      </c>
      <c r="H87" s="6" t="s">
        <v>546</v>
      </c>
      <c r="I87" s="7"/>
      <c r="J87" s="7"/>
      <c r="L87" s="3" t="s">
        <v>547</v>
      </c>
    </row>
    <row r="88" ht="101.25" customHeight="1">
      <c r="A88" s="3"/>
      <c r="B88" s="6" t="s">
        <v>548</v>
      </c>
      <c r="C88" s="6" t="s">
        <v>549</v>
      </c>
      <c r="D88" s="7"/>
      <c r="E88" s="6" t="s">
        <v>550</v>
      </c>
      <c r="F88" s="6" t="s">
        <v>551</v>
      </c>
      <c r="G88" s="7"/>
      <c r="H88" s="7"/>
      <c r="I88" s="7"/>
      <c r="J88" s="7"/>
      <c r="L88" s="3" t="s">
        <v>552</v>
      </c>
    </row>
    <row r="89" ht="101.25" customHeight="1">
      <c r="A89" s="3"/>
      <c r="B89" s="6" t="s">
        <v>553</v>
      </c>
      <c r="C89" s="6" t="s">
        <v>554</v>
      </c>
      <c r="D89" s="7"/>
      <c r="E89" s="6" t="s">
        <v>555</v>
      </c>
      <c r="F89" s="6" t="s">
        <v>556</v>
      </c>
      <c r="G89" s="6" t="s">
        <v>557</v>
      </c>
      <c r="H89" s="6" t="s">
        <v>558</v>
      </c>
      <c r="I89" s="6" t="s">
        <v>559</v>
      </c>
      <c r="J89" s="7"/>
      <c r="L89" s="3" t="s">
        <v>560</v>
      </c>
    </row>
    <row r="90" ht="101.25" customHeight="1">
      <c r="A90" s="3"/>
      <c r="B90" s="6" t="s">
        <v>561</v>
      </c>
      <c r="C90" s="6" t="s">
        <v>562</v>
      </c>
      <c r="D90" s="7"/>
      <c r="E90" s="6" t="s">
        <v>563</v>
      </c>
      <c r="F90" s="6" t="s">
        <v>564</v>
      </c>
      <c r="G90" s="6" t="s">
        <v>565</v>
      </c>
      <c r="H90" s="7"/>
      <c r="I90" s="7"/>
      <c r="J90" s="7"/>
      <c r="L90" s="3" t="s">
        <v>566</v>
      </c>
    </row>
    <row r="91" ht="101.25" customHeight="1">
      <c r="A91" s="3"/>
      <c r="B91" s="6" t="s">
        <v>567</v>
      </c>
      <c r="C91" s="6" t="s">
        <v>568</v>
      </c>
      <c r="D91" s="7"/>
      <c r="E91" s="6" t="s">
        <v>569</v>
      </c>
      <c r="F91" s="6" t="s">
        <v>570</v>
      </c>
      <c r="G91" s="6" t="s">
        <v>571</v>
      </c>
      <c r="H91" s="7"/>
      <c r="I91" s="7"/>
      <c r="J91" s="7"/>
      <c r="L91" s="3" t="s">
        <v>572</v>
      </c>
    </row>
    <row r="92" ht="101.25" customHeight="1">
      <c r="A92" s="3"/>
      <c r="B92" s="6" t="s">
        <v>573</v>
      </c>
      <c r="C92" s="6" t="s">
        <v>574</v>
      </c>
      <c r="D92" s="7"/>
      <c r="E92" s="6" t="s">
        <v>575</v>
      </c>
      <c r="F92" s="7"/>
      <c r="G92" s="7"/>
      <c r="H92" s="7"/>
      <c r="I92" s="7"/>
      <c r="J92" s="7"/>
      <c r="L92" s="3" t="s">
        <v>576</v>
      </c>
    </row>
    <row r="93" ht="101.25" customHeight="1">
      <c r="A93" s="3"/>
      <c r="B93" s="6" t="s">
        <v>577</v>
      </c>
      <c r="C93" s="6" t="s">
        <v>578</v>
      </c>
      <c r="D93" s="7"/>
      <c r="E93" s="6" t="s">
        <v>579</v>
      </c>
      <c r="F93" s="6" t="s">
        <v>580</v>
      </c>
      <c r="G93" s="6" t="s">
        <v>581</v>
      </c>
      <c r="H93" s="7"/>
      <c r="I93" s="6" t="s">
        <v>582</v>
      </c>
      <c r="J93" s="7"/>
      <c r="L93" s="3" t="s">
        <v>583</v>
      </c>
    </row>
    <row r="94" ht="101.25" customHeight="1">
      <c r="A94" s="3"/>
      <c r="B94" s="6" t="s">
        <v>584</v>
      </c>
      <c r="C94" s="6" t="s">
        <v>585</v>
      </c>
      <c r="D94" s="7"/>
      <c r="E94" s="6" t="s">
        <v>586</v>
      </c>
      <c r="F94" s="6" t="s">
        <v>587</v>
      </c>
      <c r="G94" s="6" t="s">
        <v>588</v>
      </c>
      <c r="H94" s="6" t="s">
        <v>589</v>
      </c>
      <c r="I94" s="6" t="s">
        <v>590</v>
      </c>
      <c r="J94" s="7"/>
      <c r="L94" s="3" t="s">
        <v>591</v>
      </c>
    </row>
    <row r="95" ht="101.25" customHeight="1">
      <c r="A95" s="3"/>
      <c r="B95" s="6" t="s">
        <v>592</v>
      </c>
      <c r="C95" s="6" t="s">
        <v>593</v>
      </c>
      <c r="D95" s="7"/>
      <c r="E95" s="6" t="s">
        <v>594</v>
      </c>
      <c r="F95" s="6" t="s">
        <v>595</v>
      </c>
      <c r="G95" s="6" t="s">
        <v>596</v>
      </c>
      <c r="H95" s="7"/>
      <c r="I95" s="7"/>
      <c r="J95" s="7"/>
      <c r="L95" s="3" t="s">
        <v>597</v>
      </c>
    </row>
    <row r="96" ht="101.25" customHeight="1">
      <c r="A96" s="3"/>
      <c r="B96" s="6" t="s">
        <v>598</v>
      </c>
      <c r="C96" s="6" t="s">
        <v>599</v>
      </c>
      <c r="D96" s="7"/>
      <c r="E96" s="6" t="s">
        <v>600</v>
      </c>
      <c r="F96" s="6" t="s">
        <v>601</v>
      </c>
      <c r="G96" s="6" t="s">
        <v>602</v>
      </c>
      <c r="H96" s="7"/>
      <c r="I96" s="6" t="s">
        <v>603</v>
      </c>
      <c r="J96" s="7"/>
      <c r="L96" s="3" t="s">
        <v>604</v>
      </c>
    </row>
    <row r="97" ht="101.25" customHeight="1">
      <c r="A97" s="3"/>
      <c r="B97" s="6"/>
      <c r="C97" s="6" t="s">
        <v>605</v>
      </c>
      <c r="D97" s="7"/>
      <c r="E97" s="6" t="s">
        <v>606</v>
      </c>
      <c r="F97" s="6" t="s">
        <v>607</v>
      </c>
      <c r="G97" s="6" t="s">
        <v>608</v>
      </c>
      <c r="H97" s="6" t="s">
        <v>609</v>
      </c>
      <c r="I97" s="7"/>
      <c r="J97" s="7"/>
      <c r="L97" s="3" t="s">
        <v>610</v>
      </c>
    </row>
    <row r="98" ht="101.25" customHeight="1">
      <c r="A98" s="3"/>
      <c r="B98" s="6" t="s">
        <v>611</v>
      </c>
      <c r="C98" s="6" t="s">
        <v>612</v>
      </c>
      <c r="D98" s="7"/>
      <c r="E98" s="6" t="s">
        <v>613</v>
      </c>
      <c r="F98" s="6" t="s">
        <v>614</v>
      </c>
      <c r="G98" s="7"/>
      <c r="H98" s="7"/>
      <c r="I98" s="7"/>
      <c r="J98" s="7"/>
      <c r="L98" s="3" t="s">
        <v>615</v>
      </c>
    </row>
    <row r="99" ht="101.25" customHeight="1">
      <c r="A99" s="3"/>
      <c r="B99" s="6" t="s">
        <v>616</v>
      </c>
      <c r="C99" s="6" t="s">
        <v>617</v>
      </c>
      <c r="D99" s="7"/>
      <c r="E99" s="7"/>
      <c r="F99" s="6" t="s">
        <v>618</v>
      </c>
      <c r="G99" s="6" t="s">
        <v>619</v>
      </c>
      <c r="H99" s="7"/>
      <c r="I99" s="7"/>
      <c r="J99" s="7"/>
      <c r="L99" s="3" t="s">
        <v>620</v>
      </c>
    </row>
    <row r="100" ht="101.25" customHeight="1">
      <c r="A100" s="3"/>
      <c r="B100" s="6" t="s">
        <v>621</v>
      </c>
      <c r="C100" s="6" t="s">
        <v>622</v>
      </c>
      <c r="D100" s="7"/>
      <c r="E100" s="6" t="s">
        <v>623</v>
      </c>
      <c r="F100" s="6" t="s">
        <v>624</v>
      </c>
      <c r="G100" s="6" t="s">
        <v>625</v>
      </c>
      <c r="H100" s="6" t="s">
        <v>626</v>
      </c>
      <c r="I100" s="7"/>
      <c r="J100" s="7"/>
      <c r="L100" s="3" t="s">
        <v>627</v>
      </c>
    </row>
    <row r="101" ht="101.25" customHeight="1">
      <c r="A101" s="3"/>
      <c r="B101" s="6" t="s">
        <v>628</v>
      </c>
      <c r="C101" s="6" t="s">
        <v>629</v>
      </c>
      <c r="D101" s="6" t="s">
        <v>630</v>
      </c>
      <c r="E101" s="6" t="s">
        <v>631</v>
      </c>
      <c r="F101" s="6" t="s">
        <v>632</v>
      </c>
      <c r="G101" s="6" t="s">
        <v>633</v>
      </c>
      <c r="H101" s="7"/>
      <c r="I101" s="7"/>
      <c r="J101" s="7"/>
      <c r="L101" s="3" t="s">
        <v>634</v>
      </c>
    </row>
    <row r="102" ht="101.25" customHeight="1">
      <c r="A102" s="3"/>
      <c r="B102" s="6" t="s">
        <v>635</v>
      </c>
      <c r="C102" s="6" t="s">
        <v>636</v>
      </c>
      <c r="D102" s="7"/>
      <c r="E102" s="6" t="s">
        <v>637</v>
      </c>
      <c r="F102" s="6" t="s">
        <v>638</v>
      </c>
      <c r="G102" s="6" t="s">
        <v>639</v>
      </c>
      <c r="H102" s="6" t="s">
        <v>640</v>
      </c>
      <c r="I102" s="7"/>
      <c r="J102" s="7"/>
      <c r="L102" s="3" t="s">
        <v>641</v>
      </c>
    </row>
    <row r="103" ht="101.25" customHeight="1">
      <c r="A103" s="3"/>
      <c r="B103" s="6" t="s">
        <v>642</v>
      </c>
      <c r="C103" s="6" t="s">
        <v>643</v>
      </c>
      <c r="D103" s="7"/>
      <c r="E103" s="6" t="s">
        <v>644</v>
      </c>
      <c r="F103" s="6" t="s">
        <v>645</v>
      </c>
      <c r="G103" s="6" t="s">
        <v>646</v>
      </c>
      <c r="H103" s="6" t="s">
        <v>647</v>
      </c>
      <c r="I103" s="6" t="s">
        <v>648</v>
      </c>
      <c r="J103" s="7"/>
      <c r="L103" s="3" t="s">
        <v>649</v>
      </c>
    </row>
  </sheetData>
  <mergeCells count="1">
    <mergeCell ref="B1:J1"/>
  </mergeCells>
  <dataValidations>
    <dataValidation type="list" allowBlank="1" showErrorMessage="1" sqref="I4:I103">
      <formula1>'Filtered Spells By School'!$H$2:$H103</formula1>
    </dataValidation>
    <dataValidation type="list" allowBlank="1" showErrorMessage="1" sqref="J4:J103">
      <formula1>'Filtered Spells By School'!$I$2:$I103</formula1>
    </dataValidation>
    <dataValidation type="list" allowBlank="1" showErrorMessage="1" sqref="F4:F103">
      <formula1>'Filtered Spells By School'!$E$2:$E103</formula1>
    </dataValidation>
    <dataValidation type="list" allowBlank="1" showErrorMessage="1" sqref="G4:G103">
      <formula1>'Filtered Spells By School'!$F$2:$F103</formula1>
    </dataValidation>
    <dataValidation type="list" allowBlank="1" showErrorMessage="1" sqref="H4:H103">
      <formula1>'Filtered Spells By School'!$G$2:$G103</formula1>
    </dataValidation>
    <dataValidation type="list" allowBlank="1" showErrorMessage="1" sqref="C4:C103">
      <formula1>'Filtered Spells By School'!$B$2:$B103</formula1>
    </dataValidation>
    <dataValidation type="list" allowBlank="1" showErrorMessage="1" sqref="D4:D103">
      <formula1>'Filtered Spells By School'!$C$2:$C103</formula1>
    </dataValidation>
    <dataValidation type="list" allowBlank="1" showErrorMessage="1" sqref="E4:E103">
      <formula1>'Filtered Spells By School'!$D$2:$D103</formula1>
    </dataValidation>
    <dataValidation type="list" allowBlank="1" showErrorMessage="1" sqref="B4:B103">
      <formula1>'Filtered Spells By School'!$A$2:$A103</formula1>
    </dataValidation>
  </dataValidation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28.5"/>
  </cols>
  <sheetData>
    <row r="1">
      <c r="A1" s="8" t="s">
        <v>650</v>
      </c>
      <c r="B1" s="8" t="s">
        <v>651</v>
      </c>
    </row>
    <row r="2">
      <c r="A2" s="9" t="s">
        <v>205</v>
      </c>
      <c r="B2" s="9" t="s">
        <v>8</v>
      </c>
    </row>
    <row r="3">
      <c r="A3" s="9" t="s">
        <v>481</v>
      </c>
      <c r="B3" s="9" t="s">
        <v>2</v>
      </c>
    </row>
    <row r="4">
      <c r="A4" s="9" t="s">
        <v>275</v>
      </c>
      <c r="B4" s="9" t="s">
        <v>2</v>
      </c>
    </row>
    <row r="5">
      <c r="A5" s="9" t="s">
        <v>213</v>
      </c>
      <c r="B5" s="9" t="s">
        <v>2</v>
      </c>
    </row>
    <row r="6">
      <c r="A6" s="9" t="s">
        <v>111</v>
      </c>
      <c r="B6" s="9" t="s">
        <v>6</v>
      </c>
    </row>
    <row r="7">
      <c r="A7" s="9" t="s">
        <v>385</v>
      </c>
      <c r="B7" s="9" t="s">
        <v>3</v>
      </c>
    </row>
    <row r="8">
      <c r="A8" s="9" t="s">
        <v>544</v>
      </c>
      <c r="B8" s="9" t="s">
        <v>6</v>
      </c>
    </row>
    <row r="9">
      <c r="A9" s="9" t="s">
        <v>235</v>
      </c>
      <c r="B9" s="9" t="s">
        <v>8</v>
      </c>
    </row>
    <row r="10">
      <c r="A10" s="9" t="s">
        <v>158</v>
      </c>
      <c r="B10" s="9" t="s">
        <v>6</v>
      </c>
    </row>
    <row r="11">
      <c r="A11" s="9" t="s">
        <v>94</v>
      </c>
      <c r="B11" s="9" t="s">
        <v>5</v>
      </c>
    </row>
    <row r="12">
      <c r="A12" s="9" t="s">
        <v>625</v>
      </c>
      <c r="B12" s="9" t="s">
        <v>7</v>
      </c>
    </row>
    <row r="13">
      <c r="A13" s="9" t="s">
        <v>629</v>
      </c>
      <c r="B13" s="9" t="s">
        <v>3</v>
      </c>
    </row>
    <row r="14">
      <c r="A14" s="9" t="s">
        <v>612</v>
      </c>
      <c r="B14" s="9" t="s">
        <v>3</v>
      </c>
    </row>
    <row r="15">
      <c r="A15" s="9" t="s">
        <v>399</v>
      </c>
      <c r="B15" s="9" t="s">
        <v>3</v>
      </c>
    </row>
    <row r="16">
      <c r="A16" s="9" t="s">
        <v>390</v>
      </c>
      <c r="B16" s="9" t="s">
        <v>8</v>
      </c>
    </row>
    <row r="17">
      <c r="A17" s="9" t="s">
        <v>137</v>
      </c>
      <c r="B17" s="9" t="s">
        <v>2</v>
      </c>
    </row>
    <row r="18">
      <c r="A18" s="9" t="s">
        <v>34</v>
      </c>
      <c r="B18" s="9" t="s">
        <v>2</v>
      </c>
    </row>
    <row r="19">
      <c r="A19" s="9" t="s">
        <v>599</v>
      </c>
      <c r="B19" s="9" t="s">
        <v>3</v>
      </c>
    </row>
    <row r="20">
      <c r="A20" s="9" t="s">
        <v>54</v>
      </c>
      <c r="B20" s="9" t="s">
        <v>2</v>
      </c>
    </row>
    <row r="21">
      <c r="A21" s="9" t="s">
        <v>512</v>
      </c>
      <c r="B21" s="9" t="s">
        <v>5</v>
      </c>
    </row>
    <row r="22">
      <c r="A22" s="9" t="s">
        <v>255</v>
      </c>
      <c r="B22" s="9" t="s">
        <v>6</v>
      </c>
    </row>
    <row r="23">
      <c r="A23" s="9" t="s">
        <v>391</v>
      </c>
      <c r="B23" s="9" t="s">
        <v>9</v>
      </c>
    </row>
    <row r="24">
      <c r="A24" s="9" t="s">
        <v>124</v>
      </c>
      <c r="B24" s="9" t="s">
        <v>6</v>
      </c>
    </row>
    <row r="25">
      <c r="A25" s="9" t="s">
        <v>637</v>
      </c>
      <c r="B25" s="9" t="s">
        <v>5</v>
      </c>
    </row>
    <row r="26">
      <c r="A26" s="9" t="s">
        <v>606</v>
      </c>
      <c r="B26" s="9" t="s">
        <v>5</v>
      </c>
    </row>
    <row r="27">
      <c r="A27" s="9" t="s">
        <v>184</v>
      </c>
      <c r="B27" s="9" t="s">
        <v>5</v>
      </c>
    </row>
    <row r="28">
      <c r="A28" s="9" t="s">
        <v>386</v>
      </c>
      <c r="B28" s="9" t="s">
        <v>4</v>
      </c>
    </row>
    <row r="29">
      <c r="A29" s="9" t="s">
        <v>530</v>
      </c>
      <c r="B29" s="9" t="s">
        <v>8</v>
      </c>
    </row>
    <row r="30">
      <c r="A30" s="9" t="s">
        <v>240</v>
      </c>
      <c r="B30" s="9" t="s">
        <v>6</v>
      </c>
    </row>
    <row r="31">
      <c r="A31" s="9" t="s">
        <v>587</v>
      </c>
      <c r="B31" s="9" t="s">
        <v>6</v>
      </c>
    </row>
    <row r="32">
      <c r="A32" s="9" t="s">
        <v>22</v>
      </c>
      <c r="B32" s="9" t="s">
        <v>6</v>
      </c>
    </row>
    <row r="33">
      <c r="A33" s="9" t="s">
        <v>29</v>
      </c>
      <c r="B33" s="9" t="s">
        <v>6</v>
      </c>
    </row>
    <row r="34">
      <c r="A34" s="9" t="s">
        <v>62</v>
      </c>
      <c r="B34" s="9" t="s">
        <v>3</v>
      </c>
    </row>
    <row r="35">
      <c r="A35" s="9" t="s">
        <v>365</v>
      </c>
      <c r="B35" s="9" t="s">
        <v>9</v>
      </c>
    </row>
    <row r="36">
      <c r="A36" s="9" t="s">
        <v>263</v>
      </c>
      <c r="B36" s="9" t="s">
        <v>5</v>
      </c>
    </row>
    <row r="37">
      <c r="A37" s="9" t="s">
        <v>559</v>
      </c>
      <c r="B37" s="9" t="s">
        <v>9</v>
      </c>
    </row>
    <row r="38">
      <c r="A38" s="9" t="s">
        <v>185</v>
      </c>
      <c r="B38" s="9" t="s">
        <v>6</v>
      </c>
    </row>
    <row r="39">
      <c r="A39" s="9" t="s">
        <v>171</v>
      </c>
      <c r="B39" s="9" t="s">
        <v>2</v>
      </c>
    </row>
    <row r="40">
      <c r="A40" s="9" t="s">
        <v>114</v>
      </c>
      <c r="B40" s="9" t="s">
        <v>2</v>
      </c>
    </row>
    <row r="41">
      <c r="A41" s="9" t="s">
        <v>239</v>
      </c>
      <c r="B41" s="9" t="s">
        <v>5</v>
      </c>
    </row>
    <row r="42">
      <c r="A42" s="9" t="s">
        <v>252</v>
      </c>
      <c r="B42" s="9" t="s">
        <v>3</v>
      </c>
    </row>
    <row r="43">
      <c r="A43" s="9" t="s">
        <v>563</v>
      </c>
      <c r="B43" s="9" t="s">
        <v>5</v>
      </c>
    </row>
    <row r="44">
      <c r="A44" s="9" t="s">
        <v>562</v>
      </c>
      <c r="B44" s="9" t="s">
        <v>3</v>
      </c>
    </row>
    <row r="45">
      <c r="A45" s="9" t="s">
        <v>470</v>
      </c>
      <c r="B45" s="9" t="s">
        <v>3</v>
      </c>
    </row>
    <row r="46">
      <c r="A46" s="9" t="s">
        <v>90</v>
      </c>
      <c r="B46" s="9" t="s">
        <v>9</v>
      </c>
    </row>
    <row r="47">
      <c r="A47" s="9" t="s">
        <v>313</v>
      </c>
      <c r="B47" s="9" t="s">
        <v>3</v>
      </c>
    </row>
    <row r="48">
      <c r="A48" s="9" t="s">
        <v>631</v>
      </c>
      <c r="B48" s="9" t="s">
        <v>5</v>
      </c>
    </row>
    <row r="49">
      <c r="A49" s="9" t="s">
        <v>52</v>
      </c>
      <c r="B49" s="9" t="s">
        <v>8</v>
      </c>
    </row>
    <row r="50">
      <c r="A50" s="9" t="s">
        <v>144</v>
      </c>
      <c r="B50" s="9" t="s">
        <v>2</v>
      </c>
    </row>
    <row r="51">
      <c r="A51" s="9" t="s">
        <v>302</v>
      </c>
      <c r="B51" s="9" t="s">
        <v>8</v>
      </c>
    </row>
    <row r="52">
      <c r="A52" s="9" t="s">
        <v>46</v>
      </c>
      <c r="B52" s="9" t="s">
        <v>8</v>
      </c>
    </row>
    <row r="53">
      <c r="A53" s="9" t="s">
        <v>26</v>
      </c>
      <c r="B53" s="9" t="s">
        <v>8</v>
      </c>
    </row>
    <row r="54">
      <c r="A54" s="9" t="s">
        <v>546</v>
      </c>
      <c r="B54" s="9" t="s">
        <v>8</v>
      </c>
    </row>
    <row r="55">
      <c r="A55" s="9" t="s">
        <v>100</v>
      </c>
      <c r="B55" s="9" t="s">
        <v>6</v>
      </c>
    </row>
    <row r="56">
      <c r="A56" s="9" t="s">
        <v>152</v>
      </c>
      <c r="B56" s="9" t="s">
        <v>6</v>
      </c>
    </row>
    <row r="57">
      <c r="A57" s="9" t="s">
        <v>534</v>
      </c>
      <c r="B57" s="9" t="s">
        <v>5</v>
      </c>
    </row>
    <row r="58">
      <c r="A58" s="9" t="s">
        <v>55</v>
      </c>
      <c r="B58" s="9" t="s">
        <v>3</v>
      </c>
    </row>
    <row r="59">
      <c r="A59" s="9" t="s">
        <v>51</v>
      </c>
      <c r="B59" s="9" t="s">
        <v>7</v>
      </c>
    </row>
    <row r="60">
      <c r="A60" s="9" t="s">
        <v>59</v>
      </c>
      <c r="B60" s="9" t="s">
        <v>10</v>
      </c>
    </row>
    <row r="61">
      <c r="A61" s="9" t="s">
        <v>485</v>
      </c>
      <c r="B61" s="9" t="s">
        <v>7</v>
      </c>
    </row>
    <row r="62">
      <c r="A62" s="9" t="s">
        <v>88</v>
      </c>
      <c r="B62" s="9" t="s">
        <v>7</v>
      </c>
    </row>
    <row r="63">
      <c r="A63" s="9" t="s">
        <v>639</v>
      </c>
      <c r="B63" s="9" t="s">
        <v>7</v>
      </c>
    </row>
    <row r="64">
      <c r="A64" s="9" t="s">
        <v>442</v>
      </c>
      <c r="B64" s="9" t="s">
        <v>8</v>
      </c>
    </row>
    <row r="65">
      <c r="A65" s="9" t="s">
        <v>535</v>
      </c>
      <c r="B65" s="9" t="s">
        <v>6</v>
      </c>
    </row>
    <row r="66">
      <c r="A66" s="9" t="s">
        <v>249</v>
      </c>
      <c r="B66" s="9" t="s">
        <v>8</v>
      </c>
    </row>
    <row r="67">
      <c r="A67" s="9" t="s">
        <v>56</v>
      </c>
      <c r="B67" s="9" t="s">
        <v>4</v>
      </c>
    </row>
    <row r="68">
      <c r="A68" s="9" t="s">
        <v>361</v>
      </c>
      <c r="B68" s="9" t="s">
        <v>3</v>
      </c>
    </row>
    <row r="69">
      <c r="A69" s="9" t="s">
        <v>582</v>
      </c>
      <c r="B69" s="9" t="s">
        <v>9</v>
      </c>
    </row>
    <row r="70">
      <c r="A70" s="9" t="s">
        <v>459</v>
      </c>
      <c r="B70" s="9" t="s">
        <v>5</v>
      </c>
    </row>
    <row r="71">
      <c r="A71" s="9" t="s">
        <v>472</v>
      </c>
      <c r="B71" s="9" t="s">
        <v>6</v>
      </c>
    </row>
    <row r="72">
      <c r="A72" s="9" t="s">
        <v>491</v>
      </c>
      <c r="B72" s="9" t="s">
        <v>5</v>
      </c>
    </row>
    <row r="73">
      <c r="A73" s="9" t="s">
        <v>636</v>
      </c>
      <c r="B73" s="9" t="s">
        <v>3</v>
      </c>
    </row>
    <row r="74">
      <c r="A74" s="9" t="s">
        <v>533</v>
      </c>
      <c r="B74" s="9" t="s">
        <v>3</v>
      </c>
    </row>
    <row r="75">
      <c r="A75" s="9" t="s">
        <v>557</v>
      </c>
      <c r="B75" s="9" t="s">
        <v>7</v>
      </c>
    </row>
    <row r="76">
      <c r="A76" s="9" t="s">
        <v>269</v>
      </c>
      <c r="B76" s="9" t="s">
        <v>3</v>
      </c>
    </row>
    <row r="77">
      <c r="A77" s="9" t="s">
        <v>564</v>
      </c>
      <c r="B77" s="9" t="s">
        <v>6</v>
      </c>
    </row>
    <row r="78">
      <c r="A78" s="9" t="s">
        <v>581</v>
      </c>
      <c r="B78" s="9" t="s">
        <v>7</v>
      </c>
    </row>
    <row r="79">
      <c r="A79" s="9" t="s">
        <v>482</v>
      </c>
      <c r="B79" s="9" t="s">
        <v>3</v>
      </c>
    </row>
    <row r="80">
      <c r="A80" s="9" t="s">
        <v>28</v>
      </c>
      <c r="B80" s="9" t="s">
        <v>3</v>
      </c>
    </row>
    <row r="81">
      <c r="A81" s="9" t="s">
        <v>138</v>
      </c>
      <c r="B81" s="9" t="s">
        <v>3</v>
      </c>
    </row>
    <row r="82">
      <c r="A82" s="9" t="s">
        <v>72</v>
      </c>
      <c r="B82" s="9" t="s">
        <v>3</v>
      </c>
    </row>
    <row r="83">
      <c r="A83" s="9" t="s">
        <v>183</v>
      </c>
      <c r="B83" s="9" t="s">
        <v>4</v>
      </c>
    </row>
    <row r="84">
      <c r="A84" s="9" t="s">
        <v>257</v>
      </c>
      <c r="B84" s="9" t="s">
        <v>8</v>
      </c>
    </row>
    <row r="85">
      <c r="A85" s="9" t="s">
        <v>588</v>
      </c>
      <c r="B85" s="9" t="s">
        <v>7</v>
      </c>
    </row>
    <row r="86">
      <c r="A86" s="9" t="s">
        <v>492</v>
      </c>
      <c r="B86" s="9" t="s">
        <v>6</v>
      </c>
    </row>
    <row r="87">
      <c r="A87" s="9" t="s">
        <v>256</v>
      </c>
      <c r="B87" s="9" t="s">
        <v>7</v>
      </c>
    </row>
    <row r="88">
      <c r="A88" s="9" t="s">
        <v>288</v>
      </c>
      <c r="B88" s="9" t="s">
        <v>8</v>
      </c>
    </row>
    <row r="89">
      <c r="A89" s="9" t="s">
        <v>265</v>
      </c>
      <c r="B89" s="9" t="s">
        <v>7</v>
      </c>
    </row>
    <row r="90">
      <c r="A90" s="9" t="s">
        <v>494</v>
      </c>
      <c r="B90" s="9" t="s">
        <v>8</v>
      </c>
    </row>
    <row r="91">
      <c r="A91" s="9" t="s">
        <v>554</v>
      </c>
      <c r="B91" s="9" t="s">
        <v>3</v>
      </c>
    </row>
    <row r="92">
      <c r="A92" s="9" t="s">
        <v>490</v>
      </c>
      <c r="B92" s="9" t="s">
        <v>3</v>
      </c>
    </row>
    <row r="93">
      <c r="A93" s="9" t="s">
        <v>419</v>
      </c>
      <c r="B93" s="9" t="s">
        <v>3</v>
      </c>
    </row>
    <row r="94">
      <c r="A94" s="9" t="s">
        <v>387</v>
      </c>
      <c r="B94" s="9" t="s">
        <v>5</v>
      </c>
    </row>
    <row r="95">
      <c r="A95" s="9" t="s">
        <v>565</v>
      </c>
      <c r="B95" s="9" t="s">
        <v>7</v>
      </c>
    </row>
    <row r="96">
      <c r="A96" s="9" t="s">
        <v>558</v>
      </c>
      <c r="B96" s="9" t="s">
        <v>8</v>
      </c>
    </row>
    <row r="97">
      <c r="A97" s="9" t="s">
        <v>329</v>
      </c>
      <c r="B97" s="9" t="s">
        <v>8</v>
      </c>
    </row>
    <row r="98">
      <c r="A98" s="9" t="s">
        <v>518</v>
      </c>
      <c r="B98" s="9" t="s">
        <v>2</v>
      </c>
    </row>
    <row r="99">
      <c r="A99" s="9" t="s">
        <v>211</v>
      </c>
      <c r="B99" s="9" t="s">
        <v>8</v>
      </c>
    </row>
    <row r="100">
      <c r="A100" s="9" t="s">
        <v>467</v>
      </c>
      <c r="B100" s="9" t="s">
        <v>8</v>
      </c>
    </row>
    <row r="101">
      <c r="A101" s="9" t="s">
        <v>479</v>
      </c>
      <c r="B101" s="9" t="s">
        <v>8</v>
      </c>
    </row>
    <row r="102">
      <c r="A102" s="9" t="s">
        <v>159</v>
      </c>
      <c r="B102" s="9" t="s">
        <v>8</v>
      </c>
    </row>
    <row r="103">
      <c r="A103" s="9" t="s">
        <v>221</v>
      </c>
      <c r="B103" s="9" t="s">
        <v>3</v>
      </c>
    </row>
    <row r="104">
      <c r="A104" s="9" t="s">
        <v>260</v>
      </c>
      <c r="B104" s="9" t="s">
        <v>2</v>
      </c>
    </row>
    <row r="105">
      <c r="A105" s="9" t="s">
        <v>266</v>
      </c>
      <c r="B105" s="9" t="s">
        <v>8</v>
      </c>
    </row>
    <row r="106">
      <c r="A106" s="9" t="s">
        <v>428</v>
      </c>
      <c r="B106" s="9" t="s">
        <v>9</v>
      </c>
    </row>
    <row r="107">
      <c r="A107" s="9" t="s">
        <v>264</v>
      </c>
      <c r="B107" s="9" t="s">
        <v>6</v>
      </c>
    </row>
    <row r="108">
      <c r="A108" s="9" t="s">
        <v>31</v>
      </c>
      <c r="B108" s="9" t="s">
        <v>8</v>
      </c>
    </row>
    <row r="109">
      <c r="A109" s="9" t="s">
        <v>589</v>
      </c>
      <c r="B109" s="9" t="s">
        <v>8</v>
      </c>
    </row>
    <row r="110">
      <c r="A110" s="9" t="s">
        <v>295</v>
      </c>
      <c r="B110" s="9" t="s">
        <v>8</v>
      </c>
    </row>
    <row r="111">
      <c r="A111" s="9" t="s">
        <v>645</v>
      </c>
      <c r="B111" s="9" t="s">
        <v>6</v>
      </c>
    </row>
    <row r="112">
      <c r="A112" s="9" t="s">
        <v>448</v>
      </c>
      <c r="B112" s="9" t="s">
        <v>7</v>
      </c>
    </row>
    <row r="113">
      <c r="A113" s="9" t="s">
        <v>50</v>
      </c>
      <c r="B113" s="9" t="s">
        <v>6</v>
      </c>
    </row>
    <row r="114">
      <c r="A114" s="9" t="s">
        <v>404</v>
      </c>
      <c r="B114" s="9" t="s">
        <v>9</v>
      </c>
    </row>
    <row r="115">
      <c r="A115" s="9" t="s">
        <v>449</v>
      </c>
      <c r="B115" s="9" t="s">
        <v>8</v>
      </c>
    </row>
    <row r="116">
      <c r="A116" s="9" t="s">
        <v>320</v>
      </c>
      <c r="B116" s="9" t="s">
        <v>4</v>
      </c>
    </row>
    <row r="117">
      <c r="A117" s="9" t="s">
        <v>85</v>
      </c>
      <c r="B117" s="9" t="s">
        <v>4</v>
      </c>
    </row>
    <row r="118">
      <c r="A118" s="9" t="s">
        <v>413</v>
      </c>
      <c r="B118" s="9" t="s">
        <v>4</v>
      </c>
    </row>
    <row r="119">
      <c r="A119" s="9" t="s">
        <v>277</v>
      </c>
      <c r="B119" s="9" t="s">
        <v>4</v>
      </c>
    </row>
    <row r="120">
      <c r="A120" s="9" t="s">
        <v>600</v>
      </c>
      <c r="B120" s="9" t="s">
        <v>5</v>
      </c>
    </row>
    <row r="121">
      <c r="A121" s="9" t="s">
        <v>244</v>
      </c>
      <c r="B121" s="9" t="s">
        <v>3</v>
      </c>
    </row>
    <row r="122">
      <c r="A122" s="9" t="s">
        <v>536</v>
      </c>
      <c r="B122" s="9" t="s">
        <v>7</v>
      </c>
    </row>
    <row r="123">
      <c r="A123" s="9" t="s">
        <v>186</v>
      </c>
      <c r="B123" s="9" t="s">
        <v>7</v>
      </c>
    </row>
    <row r="124">
      <c r="A124" s="9" t="s">
        <v>357</v>
      </c>
      <c r="B124" s="9" t="s">
        <v>5</v>
      </c>
    </row>
    <row r="125">
      <c r="A125" s="9" t="s">
        <v>367</v>
      </c>
      <c r="B125" s="9" t="s">
        <v>2</v>
      </c>
    </row>
    <row r="126">
      <c r="A126" s="9" t="s">
        <v>538</v>
      </c>
      <c r="B126" s="9" t="s">
        <v>9</v>
      </c>
    </row>
    <row r="127">
      <c r="A127" s="9" t="s">
        <v>218</v>
      </c>
      <c r="B127" s="9" t="s">
        <v>10</v>
      </c>
    </row>
    <row r="128">
      <c r="A128" s="9" t="s">
        <v>431</v>
      </c>
      <c r="B128" s="9" t="s">
        <v>5</v>
      </c>
    </row>
    <row r="129">
      <c r="A129" s="9" t="s">
        <v>433</v>
      </c>
      <c r="B129" s="9" t="s">
        <v>7</v>
      </c>
    </row>
    <row r="130">
      <c r="A130" s="9" t="s">
        <v>414</v>
      </c>
      <c r="B130" s="9" t="s">
        <v>5</v>
      </c>
    </row>
    <row r="131">
      <c r="A131" s="9" t="s">
        <v>499</v>
      </c>
      <c r="B131" s="9" t="s">
        <v>6</v>
      </c>
    </row>
    <row r="132">
      <c r="A132" s="9" t="s">
        <v>164</v>
      </c>
      <c r="B132" s="9" t="s">
        <v>6</v>
      </c>
    </row>
    <row r="133">
      <c r="A133" s="9" t="s">
        <v>157</v>
      </c>
      <c r="B133" s="9" t="s">
        <v>5</v>
      </c>
    </row>
    <row r="134">
      <c r="A134" s="9" t="s">
        <v>333</v>
      </c>
      <c r="B134" s="9" t="s">
        <v>5</v>
      </c>
    </row>
    <row r="135">
      <c r="A135" s="9" t="s">
        <v>529</v>
      </c>
      <c r="B135" s="9" t="s">
        <v>7</v>
      </c>
    </row>
    <row r="136">
      <c r="A136" s="9" t="s">
        <v>39</v>
      </c>
      <c r="B136" s="9" t="s">
        <v>3</v>
      </c>
    </row>
    <row r="137">
      <c r="A137" s="9" t="s">
        <v>238</v>
      </c>
      <c r="B137" s="9" t="s">
        <v>3</v>
      </c>
    </row>
    <row r="138">
      <c r="A138" s="9" t="s">
        <v>165</v>
      </c>
      <c r="B138" s="9" t="s">
        <v>7</v>
      </c>
    </row>
    <row r="139">
      <c r="A139" s="9" t="s">
        <v>147</v>
      </c>
      <c r="B139" s="9" t="s">
        <v>7</v>
      </c>
    </row>
    <row r="140">
      <c r="A140" s="9" t="s">
        <v>441</v>
      </c>
      <c r="B140" s="9" t="s">
        <v>7</v>
      </c>
    </row>
    <row r="141">
      <c r="A141" s="9" t="s">
        <v>25</v>
      </c>
      <c r="B141" s="9" t="s">
        <v>3</v>
      </c>
    </row>
    <row r="142">
      <c r="A142" s="9" t="s">
        <v>466</v>
      </c>
      <c r="B142" s="9" t="s">
        <v>7</v>
      </c>
    </row>
    <row r="143">
      <c r="A143" s="9" t="s">
        <v>179</v>
      </c>
      <c r="B143" s="9" t="s">
        <v>6</v>
      </c>
    </row>
    <row r="144">
      <c r="A144" s="9" t="s">
        <v>609</v>
      </c>
      <c r="B144" s="9" t="s">
        <v>8</v>
      </c>
    </row>
    <row r="145">
      <c r="A145" s="9" t="s">
        <v>321</v>
      </c>
      <c r="B145" s="9" t="s">
        <v>5</v>
      </c>
    </row>
    <row r="146">
      <c r="A146" s="9" t="s">
        <v>270</v>
      </c>
      <c r="B146" s="9" t="s">
        <v>5</v>
      </c>
    </row>
    <row r="147">
      <c r="A147" s="9" t="s">
        <v>335</v>
      </c>
      <c r="B147" s="9" t="s">
        <v>7</v>
      </c>
    </row>
    <row r="148">
      <c r="A148" s="9" t="s">
        <v>471</v>
      </c>
      <c r="B148" s="9" t="s">
        <v>5</v>
      </c>
    </row>
    <row r="149">
      <c r="A149" s="9" t="s">
        <v>161</v>
      </c>
      <c r="B149" s="9" t="s">
        <v>2</v>
      </c>
    </row>
    <row r="150">
      <c r="A150" s="9" t="s">
        <v>278</v>
      </c>
      <c r="B150" s="9" t="s">
        <v>5</v>
      </c>
    </row>
    <row r="151">
      <c r="A151" s="9" t="s">
        <v>150</v>
      </c>
      <c r="B151" s="9" t="s">
        <v>3</v>
      </c>
    </row>
    <row r="152">
      <c r="A152" s="9" t="s">
        <v>103</v>
      </c>
      <c r="B152" s="9" t="s">
        <v>2</v>
      </c>
    </row>
    <row r="153">
      <c r="A153" s="9" t="s">
        <v>40</v>
      </c>
      <c r="B153" s="9" t="s">
        <v>4</v>
      </c>
    </row>
    <row r="154">
      <c r="A154" s="9" t="s">
        <v>594</v>
      </c>
      <c r="B154" s="9" t="s">
        <v>5</v>
      </c>
    </row>
    <row r="155">
      <c r="A155" s="9" t="s">
        <v>411</v>
      </c>
      <c r="B155" s="9" t="s">
        <v>2</v>
      </c>
    </row>
    <row r="156">
      <c r="A156" s="9" t="s">
        <v>156</v>
      </c>
      <c r="B156" s="9" t="s">
        <v>4</v>
      </c>
    </row>
    <row r="157">
      <c r="A157" s="9" t="s">
        <v>506</v>
      </c>
      <c r="B157" s="9" t="s">
        <v>7</v>
      </c>
    </row>
    <row r="158">
      <c r="A158" s="9" t="s">
        <v>595</v>
      </c>
      <c r="B158" s="9" t="s">
        <v>6</v>
      </c>
    </row>
    <row r="159">
      <c r="A159" s="9" t="s">
        <v>23</v>
      </c>
      <c r="B159" s="9" t="s">
        <v>8</v>
      </c>
    </row>
    <row r="160">
      <c r="A160" s="9" t="s">
        <v>605</v>
      </c>
      <c r="B160" s="9" t="s">
        <v>3</v>
      </c>
    </row>
    <row r="161">
      <c r="A161" s="9" t="s">
        <v>438</v>
      </c>
      <c r="B161" s="9" t="s">
        <v>4</v>
      </c>
    </row>
    <row r="162">
      <c r="A162" s="9" t="s">
        <v>291</v>
      </c>
      <c r="B162" s="9" t="s">
        <v>4</v>
      </c>
    </row>
    <row r="163">
      <c r="A163" s="9" t="s">
        <v>626</v>
      </c>
      <c r="B163" s="9" t="s">
        <v>8</v>
      </c>
    </row>
    <row r="164">
      <c r="A164" s="9" t="s">
        <v>396</v>
      </c>
      <c r="B164" s="9" t="s">
        <v>8</v>
      </c>
    </row>
    <row r="165">
      <c r="A165" s="9" t="s">
        <v>608</v>
      </c>
      <c r="B165" s="9" t="s">
        <v>7</v>
      </c>
    </row>
    <row r="166">
      <c r="A166" s="9" t="s">
        <v>287</v>
      </c>
      <c r="B166" s="9" t="s">
        <v>6</v>
      </c>
    </row>
    <row r="167">
      <c r="A167" s="9" t="s">
        <v>35</v>
      </c>
      <c r="B167" s="9" t="s">
        <v>3</v>
      </c>
    </row>
    <row r="168">
      <c r="A168" s="9" t="s">
        <v>526</v>
      </c>
      <c r="B168" s="9" t="s">
        <v>4</v>
      </c>
    </row>
    <row r="169">
      <c r="A169" s="9" t="s">
        <v>130</v>
      </c>
      <c r="B169" s="9" t="s">
        <v>8</v>
      </c>
    </row>
    <row r="170">
      <c r="A170" s="9" t="s">
        <v>68</v>
      </c>
      <c r="B170" s="9" t="s">
        <v>5</v>
      </c>
    </row>
    <row r="171">
      <c r="A171" s="9" t="s">
        <v>74</v>
      </c>
      <c r="B171" s="9" t="s">
        <v>5</v>
      </c>
    </row>
    <row r="172">
      <c r="A172" s="9" t="s">
        <v>215</v>
      </c>
      <c r="B172" s="9" t="s">
        <v>5</v>
      </c>
    </row>
    <row r="173">
      <c r="A173" s="9" t="s">
        <v>67</v>
      </c>
      <c r="B173" s="9" t="s">
        <v>3</v>
      </c>
    </row>
    <row r="174">
      <c r="A174" s="9" t="s">
        <v>95</v>
      </c>
      <c r="B174" s="9" t="s">
        <v>6</v>
      </c>
    </row>
    <row r="175">
      <c r="A175" s="9" t="s">
        <v>69</v>
      </c>
      <c r="B175" s="9" t="s">
        <v>6</v>
      </c>
    </row>
    <row r="176">
      <c r="A176" s="9" t="s">
        <v>624</v>
      </c>
      <c r="B176" s="9" t="s">
        <v>6</v>
      </c>
    </row>
    <row r="177">
      <c r="A177" s="9" t="s">
        <v>75</v>
      </c>
      <c r="B177" s="9" t="s">
        <v>6</v>
      </c>
    </row>
    <row r="178">
      <c r="A178" s="9" t="s">
        <v>306</v>
      </c>
      <c r="B178" s="9" t="s">
        <v>3</v>
      </c>
    </row>
    <row r="179">
      <c r="A179" s="9" t="s">
        <v>427</v>
      </c>
      <c r="B179" s="9" t="s">
        <v>6</v>
      </c>
    </row>
    <row r="180">
      <c r="A180" s="9" t="s">
        <v>327</v>
      </c>
      <c r="B180" s="9" t="s">
        <v>5</v>
      </c>
    </row>
    <row r="181">
      <c r="A181" s="9" t="s">
        <v>246</v>
      </c>
      <c r="B181" s="9" t="s">
        <v>5</v>
      </c>
    </row>
    <row r="182">
      <c r="A182" s="9" t="s">
        <v>231</v>
      </c>
      <c r="B182" s="9" t="s">
        <v>2</v>
      </c>
    </row>
    <row r="183">
      <c r="A183" s="9" t="s">
        <v>475</v>
      </c>
      <c r="B183" s="9" t="s">
        <v>3</v>
      </c>
    </row>
    <row r="184">
      <c r="A184" s="9" t="s">
        <v>457</v>
      </c>
      <c r="B184" s="9" t="s">
        <v>2</v>
      </c>
    </row>
    <row r="185">
      <c r="A185" s="9" t="s">
        <v>189</v>
      </c>
      <c r="B185" s="9" t="s">
        <v>2</v>
      </c>
    </row>
    <row r="186">
      <c r="A186" s="9" t="s">
        <v>362</v>
      </c>
      <c r="B186" s="9" t="s">
        <v>5</v>
      </c>
    </row>
    <row r="187">
      <c r="A187" s="9" t="s">
        <v>192</v>
      </c>
      <c r="B187" s="9" t="s">
        <v>6</v>
      </c>
    </row>
    <row r="188">
      <c r="A188" s="9" t="s">
        <v>76</v>
      </c>
      <c r="B188" s="9" t="s">
        <v>7</v>
      </c>
    </row>
    <row r="189">
      <c r="A189" s="9" t="s">
        <v>261</v>
      </c>
      <c r="B189" s="9" t="s">
        <v>3</v>
      </c>
    </row>
    <row r="190">
      <c r="A190" s="9" t="s">
        <v>607</v>
      </c>
      <c r="B190" s="9" t="s">
        <v>6</v>
      </c>
    </row>
    <row r="191">
      <c r="A191" s="9" t="s">
        <v>79</v>
      </c>
      <c r="B191" s="9" t="s">
        <v>3</v>
      </c>
    </row>
    <row r="192">
      <c r="A192" s="9" t="s">
        <v>498</v>
      </c>
      <c r="B192" s="9" t="s">
        <v>5</v>
      </c>
    </row>
    <row r="193">
      <c r="A193" s="9" t="s">
        <v>613</v>
      </c>
      <c r="B193" s="9" t="s">
        <v>5</v>
      </c>
    </row>
    <row r="194">
      <c r="A194" s="9" t="s">
        <v>455</v>
      </c>
      <c r="B194" s="9" t="s">
        <v>8</v>
      </c>
    </row>
    <row r="195">
      <c r="A195" s="9" t="s">
        <v>378</v>
      </c>
      <c r="B195" s="9" t="s">
        <v>8</v>
      </c>
    </row>
    <row r="196">
      <c r="A196" s="9" t="s">
        <v>464</v>
      </c>
      <c r="B196" s="9" t="s">
        <v>5</v>
      </c>
    </row>
    <row r="197">
      <c r="A197" s="9" t="s">
        <v>104</v>
      </c>
      <c r="B197" s="9" t="s">
        <v>3</v>
      </c>
    </row>
    <row r="198">
      <c r="A198" s="9" t="s">
        <v>513</v>
      </c>
      <c r="B198" s="9" t="s">
        <v>6</v>
      </c>
    </row>
    <row r="199">
      <c r="A199" s="9" t="s">
        <v>508</v>
      </c>
      <c r="B199" s="9" t="s">
        <v>9</v>
      </c>
    </row>
    <row r="200">
      <c r="A200" s="9" t="s">
        <v>355</v>
      </c>
      <c r="B200" s="9" t="s">
        <v>2</v>
      </c>
    </row>
    <row r="201">
      <c r="A201" s="9" t="s">
        <v>312</v>
      </c>
      <c r="B201" s="9" t="s">
        <v>2</v>
      </c>
    </row>
    <row r="202">
      <c r="A202" s="9" t="s">
        <v>642</v>
      </c>
      <c r="B202" s="9" t="s">
        <v>2</v>
      </c>
    </row>
    <row r="203">
      <c r="A203" s="9" t="s">
        <v>638</v>
      </c>
      <c r="B203" s="9" t="s">
        <v>6</v>
      </c>
    </row>
    <row r="204">
      <c r="A204" s="9" t="s">
        <v>617</v>
      </c>
      <c r="B204" s="9" t="s">
        <v>3</v>
      </c>
    </row>
    <row r="205">
      <c r="A205" s="9" t="s">
        <v>521</v>
      </c>
      <c r="B205" s="9" t="s">
        <v>6</v>
      </c>
    </row>
    <row r="206">
      <c r="A206" s="9" t="s">
        <v>602</v>
      </c>
      <c r="B206" s="9" t="s">
        <v>7</v>
      </c>
    </row>
    <row r="207">
      <c r="A207" s="9" t="s">
        <v>375</v>
      </c>
      <c r="B207" s="9" t="s">
        <v>3</v>
      </c>
    </row>
    <row r="208">
      <c r="A208" s="9" t="s">
        <v>618</v>
      </c>
      <c r="B208" s="9" t="s">
        <v>6</v>
      </c>
    </row>
    <row r="209">
      <c r="A209" s="9" t="s">
        <v>64</v>
      </c>
      <c r="B209" s="9" t="s">
        <v>7</v>
      </c>
    </row>
    <row r="210">
      <c r="A210" s="9" t="s">
        <v>389</v>
      </c>
      <c r="B210" s="9" t="s">
        <v>7</v>
      </c>
    </row>
    <row r="211">
      <c r="A211" s="9" t="s">
        <v>515</v>
      </c>
      <c r="B211" s="9" t="s">
        <v>8</v>
      </c>
    </row>
    <row r="212">
      <c r="A212" s="9" t="s">
        <v>132</v>
      </c>
      <c r="B212" s="9" t="s">
        <v>3</v>
      </c>
    </row>
    <row r="213">
      <c r="A213" s="9" t="s">
        <v>80</v>
      </c>
      <c r="B213" s="9" t="s">
        <v>5</v>
      </c>
    </row>
    <row r="214">
      <c r="A214" s="9" t="s">
        <v>243</v>
      </c>
      <c r="B214" s="9" t="s">
        <v>2</v>
      </c>
    </row>
    <row r="215">
      <c r="A215" s="9" t="s">
        <v>371</v>
      </c>
      <c r="B215" s="9" t="s">
        <v>8</v>
      </c>
    </row>
    <row r="216">
      <c r="A216" s="9" t="s">
        <v>346</v>
      </c>
      <c r="B216" s="9" t="s">
        <v>5</v>
      </c>
    </row>
    <row r="217">
      <c r="A217" s="9" t="s">
        <v>323</v>
      </c>
      <c r="B217" s="9" t="s">
        <v>8</v>
      </c>
    </row>
    <row r="218">
      <c r="A218" s="9" t="s">
        <v>586</v>
      </c>
      <c r="B218" s="9" t="s">
        <v>5</v>
      </c>
    </row>
    <row r="219">
      <c r="A219" s="9" t="s">
        <v>216</v>
      </c>
      <c r="B219" s="9" t="s">
        <v>6</v>
      </c>
    </row>
    <row r="220">
      <c r="A220" s="9" t="s">
        <v>350</v>
      </c>
      <c r="B220" s="9" t="s">
        <v>2</v>
      </c>
    </row>
    <row r="221">
      <c r="A221" s="9" t="s">
        <v>619</v>
      </c>
      <c r="B221" s="9" t="s">
        <v>7</v>
      </c>
    </row>
    <row r="222">
      <c r="A222" s="9" t="s">
        <v>646</v>
      </c>
      <c r="B222" s="9" t="s">
        <v>7</v>
      </c>
    </row>
    <row r="223">
      <c r="A223" s="9" t="s">
        <v>500</v>
      </c>
      <c r="B223" s="9" t="s">
        <v>7</v>
      </c>
    </row>
    <row r="224">
      <c r="A224" s="9" t="s">
        <v>174</v>
      </c>
      <c r="B224" s="9" t="s">
        <v>7</v>
      </c>
    </row>
    <row r="225">
      <c r="A225" s="9" t="s">
        <v>403</v>
      </c>
      <c r="B225" s="9" t="s">
        <v>8</v>
      </c>
    </row>
    <row r="226">
      <c r="A226" s="9" t="s">
        <v>247</v>
      </c>
      <c r="B226" s="9" t="s">
        <v>6</v>
      </c>
    </row>
    <row r="227">
      <c r="A227" s="9" t="s">
        <v>507</v>
      </c>
      <c r="B227" s="9" t="s">
        <v>8</v>
      </c>
    </row>
    <row r="228">
      <c r="A228" s="9" t="s">
        <v>622</v>
      </c>
      <c r="B228" s="9" t="s">
        <v>3</v>
      </c>
    </row>
    <row r="229">
      <c r="A229" s="9" t="s">
        <v>358</v>
      </c>
      <c r="B229" s="9" t="s">
        <v>8</v>
      </c>
    </row>
    <row r="230">
      <c r="A230" s="9" t="s">
        <v>262</v>
      </c>
      <c r="B230" s="9" t="s">
        <v>4</v>
      </c>
    </row>
    <row r="231">
      <c r="A231" s="9" t="s">
        <v>454</v>
      </c>
      <c r="B231" s="9" t="s">
        <v>6</v>
      </c>
    </row>
    <row r="232">
      <c r="A232" s="9" t="s">
        <v>315</v>
      </c>
      <c r="B232" s="9" t="s">
        <v>6</v>
      </c>
    </row>
    <row r="233">
      <c r="A233" s="9" t="s">
        <v>630</v>
      </c>
      <c r="B233" s="9" t="s">
        <v>4</v>
      </c>
    </row>
    <row r="234">
      <c r="A234" s="9" t="s">
        <v>331</v>
      </c>
      <c r="B234" s="9" t="s">
        <v>2</v>
      </c>
    </row>
    <row r="235">
      <c r="A235" s="9" t="s">
        <v>569</v>
      </c>
      <c r="B235" s="9" t="s">
        <v>5</v>
      </c>
    </row>
    <row r="236">
      <c r="A236" s="9" t="s">
        <v>196</v>
      </c>
      <c r="B236" s="9" t="s">
        <v>2</v>
      </c>
    </row>
    <row r="237">
      <c r="A237" s="9" t="s">
        <v>444</v>
      </c>
      <c r="B237" s="9" t="s">
        <v>2</v>
      </c>
    </row>
    <row r="238">
      <c r="A238" s="9" t="s">
        <v>392</v>
      </c>
      <c r="B238" s="9" t="s">
        <v>10</v>
      </c>
    </row>
    <row r="239">
      <c r="A239" s="9" t="s">
        <v>341</v>
      </c>
      <c r="B239" s="9" t="s">
        <v>5</v>
      </c>
    </row>
    <row r="240">
      <c r="A240" s="9" t="s">
        <v>250</v>
      </c>
      <c r="B240" s="9" t="s">
        <v>9</v>
      </c>
    </row>
    <row r="241">
      <c r="A241" s="9" t="s">
        <v>406</v>
      </c>
      <c r="B241" s="9" t="s">
        <v>2</v>
      </c>
    </row>
    <row r="242">
      <c r="A242" s="9" t="s">
        <v>87</v>
      </c>
      <c r="B242" s="9" t="s">
        <v>6</v>
      </c>
    </row>
    <row r="243">
      <c r="A243" s="9" t="s">
        <v>520</v>
      </c>
      <c r="B243" s="9" t="s">
        <v>5</v>
      </c>
    </row>
    <row r="244">
      <c r="A244" s="9" t="s">
        <v>73</v>
      </c>
      <c r="B244" s="9" t="s">
        <v>4</v>
      </c>
    </row>
    <row r="245">
      <c r="A245" s="9" t="s">
        <v>407</v>
      </c>
      <c r="B245" s="9" t="s">
        <v>3</v>
      </c>
    </row>
    <row r="246">
      <c r="A246" s="9" t="s">
        <v>402</v>
      </c>
      <c r="B246" s="9" t="s">
        <v>7</v>
      </c>
    </row>
    <row r="247">
      <c r="A247" s="9" t="s">
        <v>590</v>
      </c>
      <c r="B247" s="9" t="s">
        <v>9</v>
      </c>
    </row>
    <row r="248">
      <c r="A248" s="9" t="s">
        <v>303</v>
      </c>
      <c r="B248" s="9" t="s">
        <v>9</v>
      </c>
    </row>
    <row r="249">
      <c r="A249" s="9" t="s">
        <v>245</v>
      </c>
      <c r="B249" s="9" t="s">
        <v>4</v>
      </c>
    </row>
    <row r="250">
      <c r="A250" s="9" t="s">
        <v>542</v>
      </c>
      <c r="B250" s="9" t="s">
        <v>3</v>
      </c>
    </row>
    <row r="251">
      <c r="A251" s="9" t="s">
        <v>623</v>
      </c>
      <c r="B251" s="9" t="s">
        <v>5</v>
      </c>
    </row>
    <row r="252">
      <c r="A252" s="9" t="s">
        <v>118</v>
      </c>
      <c r="B252" s="9" t="s">
        <v>6</v>
      </c>
    </row>
    <row r="253">
      <c r="A253" s="9" t="s">
        <v>395</v>
      </c>
      <c r="B253" s="9" t="s">
        <v>5</v>
      </c>
    </row>
    <row r="254">
      <c r="A254" s="9" t="s">
        <v>384</v>
      </c>
      <c r="B254" s="9" t="s">
        <v>2</v>
      </c>
    </row>
    <row r="255">
      <c r="A255" s="9" t="s">
        <v>209</v>
      </c>
      <c r="B255" s="9" t="s">
        <v>5</v>
      </c>
    </row>
    <row r="256">
      <c r="A256" s="9" t="s">
        <v>116</v>
      </c>
      <c r="B256" s="9" t="s">
        <v>4</v>
      </c>
    </row>
    <row r="257">
      <c r="A257" s="9" t="s">
        <v>134</v>
      </c>
      <c r="B257" s="9" t="s">
        <v>6</v>
      </c>
    </row>
    <row r="258">
      <c r="A258" s="9" t="s">
        <v>353</v>
      </c>
      <c r="B258" s="9" t="s">
        <v>8</v>
      </c>
    </row>
    <row r="259">
      <c r="A259" s="9" t="s">
        <v>483</v>
      </c>
      <c r="B259" s="9" t="s">
        <v>4</v>
      </c>
    </row>
    <row r="260">
      <c r="A260" s="9" t="s">
        <v>486</v>
      </c>
      <c r="B260" s="9" t="s">
        <v>8</v>
      </c>
    </row>
    <row r="261">
      <c r="A261" s="9" t="s">
        <v>128</v>
      </c>
      <c r="B261" s="9" t="s">
        <v>5</v>
      </c>
    </row>
    <row r="262">
      <c r="A262" s="9" t="s">
        <v>348</v>
      </c>
      <c r="B262" s="9" t="s">
        <v>8</v>
      </c>
    </row>
    <row r="263">
      <c r="A263" s="9" t="s">
        <v>537</v>
      </c>
      <c r="B263" s="9" t="s">
        <v>8</v>
      </c>
    </row>
    <row r="264">
      <c r="A264" s="9" t="s">
        <v>271</v>
      </c>
      <c r="B264" s="9" t="s">
        <v>6</v>
      </c>
    </row>
    <row r="265">
      <c r="A265" s="9" t="s">
        <v>98</v>
      </c>
      <c r="B265" s="9" t="s">
        <v>3</v>
      </c>
    </row>
    <row r="266">
      <c r="A266" s="9" t="s">
        <v>503</v>
      </c>
      <c r="B266" s="9" t="s">
        <v>3</v>
      </c>
    </row>
    <row r="267">
      <c r="A267" s="9" t="s">
        <v>241</v>
      </c>
      <c r="B267" s="9" t="s">
        <v>8</v>
      </c>
    </row>
    <row r="268">
      <c r="A268" s="9" t="s">
        <v>301</v>
      </c>
      <c r="B268" s="9" t="s">
        <v>6</v>
      </c>
    </row>
    <row r="269">
      <c r="A269" s="9" t="s">
        <v>575</v>
      </c>
      <c r="B269" s="9" t="s">
        <v>5</v>
      </c>
    </row>
    <row r="270">
      <c r="A270" s="9" t="s">
        <v>119</v>
      </c>
      <c r="B270" s="9" t="s">
        <v>7</v>
      </c>
    </row>
    <row r="271">
      <c r="A271" s="9" t="s">
        <v>527</v>
      </c>
      <c r="B271" s="9" t="s">
        <v>5</v>
      </c>
    </row>
    <row r="272">
      <c r="A272" s="9" t="s">
        <v>478</v>
      </c>
      <c r="B272" s="9" t="s">
        <v>7</v>
      </c>
    </row>
    <row r="273">
      <c r="A273" s="9" t="s">
        <v>337</v>
      </c>
      <c r="B273" s="9" t="s">
        <v>9</v>
      </c>
    </row>
    <row r="274">
      <c r="A274" s="9" t="s">
        <v>528</v>
      </c>
      <c r="B274" s="9" t="s">
        <v>6</v>
      </c>
    </row>
    <row r="275">
      <c r="A275" s="9" t="s">
        <v>447</v>
      </c>
      <c r="B275" s="9" t="s">
        <v>6</v>
      </c>
    </row>
    <row r="276">
      <c r="A276" s="9" t="s">
        <v>207</v>
      </c>
      <c r="B276" s="9" t="s">
        <v>2</v>
      </c>
    </row>
    <row r="277">
      <c r="A277" s="9" t="s">
        <v>422</v>
      </c>
      <c r="B277" s="9" t="s">
        <v>8</v>
      </c>
    </row>
    <row r="278">
      <c r="A278" s="9" t="s">
        <v>280</v>
      </c>
      <c r="B278" s="9" t="s">
        <v>7</v>
      </c>
    </row>
    <row r="279">
      <c r="A279" s="9" t="s">
        <v>224</v>
      </c>
      <c r="B279" s="9" t="s">
        <v>8</v>
      </c>
    </row>
    <row r="280">
      <c r="A280" s="9" t="s">
        <v>294</v>
      </c>
      <c r="B280" s="9" t="s">
        <v>7</v>
      </c>
    </row>
    <row r="281">
      <c r="A281" s="9" t="s">
        <v>58</v>
      </c>
      <c r="B281" s="9" t="s">
        <v>8</v>
      </c>
    </row>
    <row r="282">
      <c r="A282" s="9" t="s">
        <v>310</v>
      </c>
      <c r="B282" s="9" t="s">
        <v>9</v>
      </c>
    </row>
    <row r="283">
      <c r="A283" s="9" t="s">
        <v>101</v>
      </c>
      <c r="B283" s="9" t="s">
        <v>8</v>
      </c>
    </row>
    <row r="284">
      <c r="A284" s="9" t="s">
        <v>432</v>
      </c>
      <c r="B284" s="9" t="s">
        <v>6</v>
      </c>
    </row>
    <row r="285">
      <c r="A285" s="9" t="s">
        <v>44</v>
      </c>
      <c r="B285" s="9" t="s">
        <v>3</v>
      </c>
    </row>
    <row r="286">
      <c r="A286" s="9" t="s">
        <v>93</v>
      </c>
      <c r="B286" s="9" t="s">
        <v>3</v>
      </c>
    </row>
    <row r="287">
      <c r="A287" s="9" t="s">
        <v>401</v>
      </c>
      <c r="B287" s="9" t="s">
        <v>6</v>
      </c>
    </row>
    <row r="288">
      <c r="A288" s="9" t="s">
        <v>633</v>
      </c>
      <c r="B288" s="9" t="s">
        <v>7</v>
      </c>
    </row>
    <row r="289">
      <c r="A289" s="9" t="s">
        <v>571</v>
      </c>
      <c r="B289" s="9" t="s">
        <v>7</v>
      </c>
    </row>
    <row r="290">
      <c r="A290" s="9" t="s">
        <v>145</v>
      </c>
      <c r="B290" s="9" t="s">
        <v>3</v>
      </c>
    </row>
    <row r="291">
      <c r="A291" s="9" t="s">
        <v>505</v>
      </c>
      <c r="B291" s="9" t="s">
        <v>6</v>
      </c>
    </row>
    <row r="292">
      <c r="A292" s="9" t="s">
        <v>460</v>
      </c>
      <c r="B292" s="9" t="s">
        <v>6</v>
      </c>
    </row>
    <row r="293">
      <c r="A293" s="9" t="s">
        <v>220</v>
      </c>
      <c r="B293" s="9" t="s">
        <v>2</v>
      </c>
    </row>
    <row r="294">
      <c r="A294" s="9" t="s">
        <v>596</v>
      </c>
      <c r="B294" s="9" t="s">
        <v>7</v>
      </c>
    </row>
    <row r="295">
      <c r="A295" s="9" t="s">
        <v>425</v>
      </c>
      <c r="B295" s="9" t="s">
        <v>2</v>
      </c>
    </row>
    <row r="296">
      <c r="A296" s="9" t="s">
        <v>141</v>
      </c>
      <c r="B296" s="9" t="s">
        <v>6</v>
      </c>
    </row>
    <row r="297">
      <c r="A297" s="9" t="s">
        <v>284</v>
      </c>
      <c r="B297" s="9" t="s">
        <v>2</v>
      </c>
    </row>
    <row r="298">
      <c r="A298" s="9" t="s">
        <v>78</v>
      </c>
      <c r="B298" s="9" t="s">
        <v>2</v>
      </c>
    </row>
    <row r="299">
      <c r="A299" s="9" t="s">
        <v>125</v>
      </c>
      <c r="B299" s="9" t="s">
        <v>9</v>
      </c>
    </row>
    <row r="300">
      <c r="A300" s="9" t="s">
        <v>514</v>
      </c>
      <c r="B300" s="9" t="s">
        <v>7</v>
      </c>
    </row>
    <row r="301">
      <c r="A301" s="9" t="s">
        <v>282</v>
      </c>
      <c r="B301" s="9" t="s">
        <v>9</v>
      </c>
    </row>
    <row r="302">
      <c r="A302" s="9" t="s">
        <v>440</v>
      </c>
      <c r="B302" s="9" t="s">
        <v>6</v>
      </c>
    </row>
    <row r="303">
      <c r="A303" s="9" t="s">
        <v>106</v>
      </c>
      <c r="B303" s="9" t="s">
        <v>6</v>
      </c>
    </row>
    <row r="304">
      <c r="A304" s="9" t="s">
        <v>173</v>
      </c>
      <c r="B304" s="9" t="s">
        <v>5</v>
      </c>
    </row>
    <row r="305">
      <c r="A305" s="9" t="s">
        <v>109</v>
      </c>
      <c r="B305" s="9" t="s">
        <v>3</v>
      </c>
    </row>
    <row r="306">
      <c r="A306" s="9" t="s">
        <v>519</v>
      </c>
      <c r="B306" s="9" t="s">
        <v>3</v>
      </c>
    </row>
    <row r="307">
      <c r="A307" s="9" t="s">
        <v>49</v>
      </c>
      <c r="B307" s="9" t="s">
        <v>3</v>
      </c>
    </row>
    <row r="308">
      <c r="A308" s="9" t="s">
        <v>593</v>
      </c>
      <c r="B308" s="9" t="s">
        <v>3</v>
      </c>
    </row>
    <row r="309">
      <c r="A309" s="9" t="s">
        <v>190</v>
      </c>
      <c r="B309" s="9" t="s">
        <v>3</v>
      </c>
    </row>
    <row r="310">
      <c r="A310" s="9" t="s">
        <v>585</v>
      </c>
      <c r="B310" s="9" t="s">
        <v>3</v>
      </c>
    </row>
    <row r="311">
      <c r="A311" s="9" t="s">
        <v>168</v>
      </c>
      <c r="B311" s="9" t="s">
        <v>3</v>
      </c>
    </row>
    <row r="312">
      <c r="A312" s="9" t="s">
        <v>477</v>
      </c>
      <c r="B312" s="9" t="s">
        <v>6</v>
      </c>
    </row>
    <row r="313">
      <c r="A313" s="9" t="s">
        <v>328</v>
      </c>
      <c r="B313" s="9" t="s">
        <v>6</v>
      </c>
    </row>
    <row r="314">
      <c r="A314" s="9" t="s">
        <v>551</v>
      </c>
      <c r="B314" s="9" t="s">
        <v>6</v>
      </c>
    </row>
    <row r="315">
      <c r="A315" s="9" t="s">
        <v>539</v>
      </c>
      <c r="B315" s="9" t="s">
        <v>10</v>
      </c>
    </row>
    <row r="316">
      <c r="A316" s="9" t="s">
        <v>648</v>
      </c>
      <c r="B316" s="9" t="s">
        <v>9</v>
      </c>
    </row>
    <row r="317">
      <c r="A317" s="9" t="s">
        <v>193</v>
      </c>
      <c r="B317" s="9" t="s">
        <v>8</v>
      </c>
    </row>
    <row r="318">
      <c r="A318" s="9" t="s">
        <v>237</v>
      </c>
      <c r="B318" s="9" t="s">
        <v>2</v>
      </c>
    </row>
    <row r="319">
      <c r="A319" s="9" t="s">
        <v>96</v>
      </c>
      <c r="B319" s="9" t="s">
        <v>8</v>
      </c>
    </row>
    <row r="320">
      <c r="A320" s="9" t="s">
        <v>584</v>
      </c>
      <c r="B320" s="9" t="s">
        <v>2</v>
      </c>
    </row>
    <row r="321">
      <c r="A321" s="9" t="s">
        <v>578</v>
      </c>
      <c r="B321" s="9" t="s">
        <v>3</v>
      </c>
    </row>
    <row r="322">
      <c r="A322" s="9" t="s">
        <v>336</v>
      </c>
      <c r="B322" s="9" t="s">
        <v>8</v>
      </c>
    </row>
    <row r="323">
      <c r="A323" s="9" t="s">
        <v>292</v>
      </c>
      <c r="B323" s="9" t="s">
        <v>5</v>
      </c>
    </row>
    <row r="324">
      <c r="A324" s="9" t="s">
        <v>139</v>
      </c>
      <c r="B324" s="9" t="s">
        <v>4</v>
      </c>
    </row>
    <row r="325">
      <c r="A325" s="9" t="s">
        <v>129</v>
      </c>
      <c r="B325" s="9" t="s">
        <v>6</v>
      </c>
    </row>
    <row r="326">
      <c r="A326" s="9" t="s">
        <v>110</v>
      </c>
      <c r="B326" s="9" t="s">
        <v>5</v>
      </c>
    </row>
    <row r="327">
      <c r="A327" s="9" t="s">
        <v>248</v>
      </c>
      <c r="B327" s="9" t="s">
        <v>7</v>
      </c>
    </row>
    <row r="328">
      <c r="A328" s="9" t="s">
        <v>99</v>
      </c>
      <c r="B328" s="9" t="s">
        <v>5</v>
      </c>
    </row>
    <row r="329">
      <c r="A329" s="9" t="s">
        <v>120</v>
      </c>
      <c r="B329" s="9" t="s">
        <v>9</v>
      </c>
    </row>
    <row r="330">
      <c r="A330" s="9" t="s">
        <v>194</v>
      </c>
      <c r="B330" s="9" t="s">
        <v>9</v>
      </c>
    </row>
    <row r="331">
      <c r="A331" s="9" t="s">
        <v>372</v>
      </c>
      <c r="B331" s="9" t="s">
        <v>9</v>
      </c>
    </row>
    <row r="332">
      <c r="A332" s="9" t="s">
        <v>347</v>
      </c>
      <c r="B332" s="9" t="s">
        <v>6</v>
      </c>
    </row>
    <row r="333">
      <c r="A333" s="9" t="s">
        <v>369</v>
      </c>
      <c r="B333" s="9" t="s">
        <v>5</v>
      </c>
    </row>
    <row r="334">
      <c r="A334" s="9" t="s">
        <v>573</v>
      </c>
      <c r="B334" s="9" t="s">
        <v>2</v>
      </c>
    </row>
    <row r="335">
      <c r="A335" s="9" t="s">
        <v>38</v>
      </c>
      <c r="B335" s="9" t="s">
        <v>2</v>
      </c>
    </row>
    <row r="336">
      <c r="A336" s="9" t="s">
        <v>439</v>
      </c>
      <c r="B336" s="9" t="s">
        <v>5</v>
      </c>
    </row>
    <row r="337">
      <c r="A337" s="9" t="s">
        <v>487</v>
      </c>
      <c r="B337" s="9" t="s">
        <v>9</v>
      </c>
    </row>
    <row r="338">
      <c r="A338" s="9" t="s">
        <v>434</v>
      </c>
      <c r="B338" s="9" t="s">
        <v>8</v>
      </c>
    </row>
    <row r="339">
      <c r="A339" s="9" t="s">
        <v>556</v>
      </c>
      <c r="B339" s="9" t="s">
        <v>6</v>
      </c>
    </row>
    <row r="340">
      <c r="A340" s="9" t="s">
        <v>376</v>
      </c>
      <c r="B340" s="9" t="s">
        <v>5</v>
      </c>
    </row>
    <row r="341">
      <c r="A341" s="9" t="s">
        <v>497</v>
      </c>
      <c r="B341" s="9" t="s">
        <v>3</v>
      </c>
    </row>
    <row r="342">
      <c r="A342" s="9" t="s">
        <v>574</v>
      </c>
      <c r="B342" s="9" t="s">
        <v>3</v>
      </c>
    </row>
    <row r="343">
      <c r="A343" s="9" t="s">
        <v>21</v>
      </c>
      <c r="B343" s="9" t="s">
        <v>3</v>
      </c>
    </row>
    <row r="344">
      <c r="A344" s="9" t="s">
        <v>309</v>
      </c>
      <c r="B344" s="9" t="s">
        <v>8</v>
      </c>
    </row>
    <row r="345">
      <c r="A345" s="9" t="s">
        <v>84</v>
      </c>
      <c r="B345" s="9" t="s">
        <v>3</v>
      </c>
    </row>
    <row r="346">
      <c r="A346" s="9" t="s">
        <v>172</v>
      </c>
      <c r="B346" s="9" t="s">
        <v>3</v>
      </c>
    </row>
    <row r="347">
      <c r="A347" s="9" t="s">
        <v>398</v>
      </c>
      <c r="B347" s="9" t="s">
        <v>2</v>
      </c>
    </row>
    <row r="348">
      <c r="A348" s="9" t="s">
        <v>319</v>
      </c>
      <c r="B348" s="9" t="s">
        <v>3</v>
      </c>
    </row>
    <row r="349">
      <c r="A349" s="9" t="s">
        <v>299</v>
      </c>
      <c r="B349" s="9" t="s">
        <v>3</v>
      </c>
    </row>
    <row r="350">
      <c r="A350" s="9" t="s">
        <v>286</v>
      </c>
      <c r="B350" s="9" t="s">
        <v>5</v>
      </c>
    </row>
    <row r="351">
      <c r="A351" s="9" t="s">
        <v>343</v>
      </c>
      <c r="B351" s="9" t="s">
        <v>9</v>
      </c>
    </row>
    <row r="352">
      <c r="A352" s="9" t="s">
        <v>408</v>
      </c>
      <c r="B352" s="9" t="s">
        <v>5</v>
      </c>
    </row>
    <row r="353">
      <c r="A353" s="9" t="s">
        <v>268</v>
      </c>
      <c r="B353" s="9" t="s">
        <v>2</v>
      </c>
    </row>
    <row r="354">
      <c r="A354" s="9" t="s">
        <v>298</v>
      </c>
      <c r="B354" s="9" t="s">
        <v>2</v>
      </c>
    </row>
    <row r="355">
      <c r="A355" s="9" t="s">
        <v>61</v>
      </c>
      <c r="B355" s="9" t="s">
        <v>2</v>
      </c>
    </row>
    <row r="356">
      <c r="A356" s="9" t="s">
        <v>489</v>
      </c>
      <c r="B356" s="9" t="s">
        <v>2</v>
      </c>
    </row>
    <row r="357">
      <c r="A357" s="9" t="s">
        <v>92</v>
      </c>
      <c r="B357" s="9" t="s">
        <v>2</v>
      </c>
    </row>
    <row r="358">
      <c r="A358" s="9" t="s">
        <v>628</v>
      </c>
      <c r="B358" s="9" t="s">
        <v>2</v>
      </c>
    </row>
    <row r="359">
      <c r="A359" s="9" t="s">
        <v>561</v>
      </c>
      <c r="B359" s="9" t="s">
        <v>2</v>
      </c>
    </row>
    <row r="360">
      <c r="A360" s="9" t="s">
        <v>469</v>
      </c>
      <c r="B360" s="9" t="s">
        <v>2</v>
      </c>
    </row>
    <row r="361">
      <c r="A361" s="9" t="s">
        <v>430</v>
      </c>
      <c r="B361" s="9" t="s">
        <v>2</v>
      </c>
    </row>
    <row r="362">
      <c r="A362" s="9" t="s">
        <v>201</v>
      </c>
      <c r="B362" s="9" t="s">
        <v>2</v>
      </c>
    </row>
    <row r="363">
      <c r="A363" s="9" t="s">
        <v>496</v>
      </c>
      <c r="B363" s="9" t="s">
        <v>2</v>
      </c>
    </row>
    <row r="364">
      <c r="A364" s="9" t="s">
        <v>154</v>
      </c>
      <c r="B364" s="9" t="s">
        <v>2</v>
      </c>
    </row>
    <row r="365">
      <c r="A365" s="9" t="s">
        <v>621</v>
      </c>
      <c r="B365" s="9" t="s">
        <v>2</v>
      </c>
    </row>
    <row r="366">
      <c r="A366" s="9" t="s">
        <v>318</v>
      </c>
      <c r="B366" s="9" t="s">
        <v>2</v>
      </c>
    </row>
    <row r="367">
      <c r="A367" s="9" t="s">
        <v>43</v>
      </c>
      <c r="B367" s="9" t="s">
        <v>2</v>
      </c>
    </row>
    <row r="368">
      <c r="A368" s="9" t="s">
        <v>89</v>
      </c>
      <c r="B368" s="9" t="s">
        <v>8</v>
      </c>
    </row>
    <row r="369">
      <c r="A369" s="9" t="s">
        <v>229</v>
      </c>
      <c r="B369" s="9" t="s">
        <v>6</v>
      </c>
    </row>
    <row r="370">
      <c r="A370" s="9" t="s">
        <v>545</v>
      </c>
      <c r="B370" s="9" t="s">
        <v>7</v>
      </c>
    </row>
    <row r="371">
      <c r="A371" s="9" t="s">
        <v>36</v>
      </c>
      <c r="B371" s="9" t="s">
        <v>8</v>
      </c>
    </row>
    <row r="372">
      <c r="A372" s="9" t="s">
        <v>177</v>
      </c>
      <c r="B372" s="9" t="s">
        <v>3</v>
      </c>
    </row>
    <row r="373">
      <c r="A373" s="9" t="s">
        <v>175</v>
      </c>
      <c r="B373" s="9" t="s">
        <v>8</v>
      </c>
    </row>
    <row r="374">
      <c r="A374" s="9" t="s">
        <v>83</v>
      </c>
      <c r="B374" s="9" t="s">
        <v>2</v>
      </c>
    </row>
    <row r="375">
      <c r="A375" s="9" t="s">
        <v>276</v>
      </c>
      <c r="B375" s="9" t="s">
        <v>3</v>
      </c>
    </row>
    <row r="376">
      <c r="A376" s="9" t="s">
        <v>307</v>
      </c>
      <c r="B376" s="9" t="s">
        <v>5</v>
      </c>
    </row>
    <row r="377">
      <c r="A377" s="9" t="s">
        <v>532</v>
      </c>
      <c r="B377" s="9" t="s">
        <v>2</v>
      </c>
    </row>
    <row r="378">
      <c r="A378" s="9" t="s">
        <v>461</v>
      </c>
      <c r="B378" s="9" t="s">
        <v>9</v>
      </c>
    </row>
    <row r="379">
      <c r="A379" s="9" t="s">
        <v>647</v>
      </c>
      <c r="B379" s="9" t="s">
        <v>8</v>
      </c>
    </row>
    <row r="380">
      <c r="A380" s="9" t="s">
        <v>510</v>
      </c>
      <c r="B380" s="9" t="s">
        <v>2</v>
      </c>
    </row>
    <row r="381">
      <c r="A381" s="9" t="s">
        <v>616</v>
      </c>
      <c r="B381" s="9" t="s">
        <v>2</v>
      </c>
    </row>
    <row r="382">
      <c r="A382" s="9" t="s">
        <v>474</v>
      </c>
      <c r="B382" s="9" t="s">
        <v>2</v>
      </c>
    </row>
    <row r="383">
      <c r="A383" s="9" t="s">
        <v>167</v>
      </c>
      <c r="B383" s="9" t="s">
        <v>2</v>
      </c>
    </row>
    <row r="384">
      <c r="A384" s="9" t="s">
        <v>226</v>
      </c>
      <c r="B384" s="9" t="s">
        <v>2</v>
      </c>
    </row>
    <row r="385">
      <c r="A385" s="9" t="s">
        <v>394</v>
      </c>
      <c r="B385" s="9" t="s">
        <v>2</v>
      </c>
    </row>
    <row r="386">
      <c r="A386" s="9" t="s">
        <v>381</v>
      </c>
      <c r="B386" s="9" t="s">
        <v>5</v>
      </c>
    </row>
    <row r="387">
      <c r="A387" s="9" t="s">
        <v>107</v>
      </c>
      <c r="B387" s="9" t="s">
        <v>8</v>
      </c>
    </row>
    <row r="388">
      <c r="A388" s="9" t="s">
        <v>191</v>
      </c>
      <c r="B388" s="9" t="s">
        <v>5</v>
      </c>
    </row>
    <row r="389">
      <c r="A389" s="9" t="s">
        <v>579</v>
      </c>
      <c r="B389" s="9" t="s">
        <v>5</v>
      </c>
    </row>
    <row r="390">
      <c r="A390" s="9" t="s">
        <v>57</v>
      </c>
      <c r="B390" s="9" t="s">
        <v>7</v>
      </c>
    </row>
    <row r="391">
      <c r="A391" s="9" t="s">
        <v>272</v>
      </c>
      <c r="B391" s="9" t="s">
        <v>7</v>
      </c>
    </row>
    <row r="392">
      <c r="A392" s="9" t="s">
        <v>543</v>
      </c>
      <c r="B392" s="9" t="s">
        <v>5</v>
      </c>
    </row>
    <row r="393">
      <c r="A393" s="9" t="s">
        <v>112</v>
      </c>
      <c r="B393" s="9" t="s">
        <v>8</v>
      </c>
    </row>
    <row r="394">
      <c r="A394" s="9" t="s">
        <v>548</v>
      </c>
      <c r="B394" s="9" t="s">
        <v>2</v>
      </c>
    </row>
    <row r="395">
      <c r="A395" s="9" t="s">
        <v>614</v>
      </c>
      <c r="B395" s="9" t="s">
        <v>6</v>
      </c>
    </row>
    <row r="396">
      <c r="A396" s="9" t="s">
        <v>502</v>
      </c>
      <c r="B396" s="9" t="s">
        <v>2</v>
      </c>
    </row>
    <row r="397">
      <c r="A397" s="9" t="s">
        <v>524</v>
      </c>
      <c r="B397" s="9" t="s">
        <v>2</v>
      </c>
    </row>
    <row r="398">
      <c r="A398" s="9" t="s">
        <v>423</v>
      </c>
      <c r="B398" s="9" t="s">
        <v>9</v>
      </c>
    </row>
    <row r="399">
      <c r="A399" s="9" t="s">
        <v>516</v>
      </c>
      <c r="B399" s="9" t="s">
        <v>9</v>
      </c>
    </row>
    <row r="400">
      <c r="A400" s="9" t="s">
        <v>603</v>
      </c>
      <c r="B400" s="9" t="s">
        <v>9</v>
      </c>
    </row>
    <row r="401">
      <c r="A401" s="9" t="s">
        <v>300</v>
      </c>
      <c r="B401" s="9" t="s">
        <v>5</v>
      </c>
    </row>
    <row r="402">
      <c r="A402" s="9" t="s">
        <v>580</v>
      </c>
      <c r="B402" s="9" t="s">
        <v>6</v>
      </c>
    </row>
    <row r="403">
      <c r="A403" s="9" t="s">
        <v>549</v>
      </c>
      <c r="B403" s="9" t="s">
        <v>3</v>
      </c>
    </row>
    <row r="404">
      <c r="A404" s="9" t="s">
        <v>577</v>
      </c>
      <c r="B404" s="9" t="s">
        <v>2</v>
      </c>
    </row>
    <row r="405">
      <c r="A405" s="9" t="s">
        <v>233</v>
      </c>
      <c r="B405" s="9" t="s">
        <v>5</v>
      </c>
    </row>
    <row r="406">
      <c r="A406" s="9" t="s">
        <v>123</v>
      </c>
      <c r="B406" s="9" t="s">
        <v>5</v>
      </c>
    </row>
    <row r="407">
      <c r="A407" s="9" t="s">
        <v>314</v>
      </c>
      <c r="B407" s="9" t="s">
        <v>5</v>
      </c>
    </row>
    <row r="408">
      <c r="A408" s="9" t="s">
        <v>632</v>
      </c>
      <c r="B408" s="9" t="s">
        <v>6</v>
      </c>
    </row>
    <row r="409">
      <c r="A409" s="9" t="s">
        <v>465</v>
      </c>
      <c r="B409" s="9" t="s">
        <v>6</v>
      </c>
    </row>
    <row r="410">
      <c r="A410" s="9" t="s">
        <v>228</v>
      </c>
      <c r="B410" s="9" t="s">
        <v>5</v>
      </c>
    </row>
    <row r="411">
      <c r="A411" s="9" t="s">
        <v>296</v>
      </c>
      <c r="B411" s="9" t="s">
        <v>9</v>
      </c>
    </row>
    <row r="412">
      <c r="A412" s="9" t="s">
        <v>416</v>
      </c>
      <c r="B412" s="9" t="s">
        <v>8</v>
      </c>
    </row>
    <row r="413">
      <c r="A413" s="9" t="s">
        <v>222</v>
      </c>
      <c r="B413" s="9" t="s">
        <v>5</v>
      </c>
    </row>
    <row r="414">
      <c r="A414" s="9" t="s">
        <v>273</v>
      </c>
      <c r="B414" s="9" t="s">
        <v>8</v>
      </c>
    </row>
    <row r="415">
      <c r="A415" s="9" t="s">
        <v>81</v>
      </c>
      <c r="B415" s="9" t="s">
        <v>8</v>
      </c>
    </row>
    <row r="416">
      <c r="A416" s="9" t="s">
        <v>364</v>
      </c>
      <c r="B416" s="9" t="s">
        <v>8</v>
      </c>
    </row>
    <row r="417">
      <c r="A417" s="9" t="s">
        <v>208</v>
      </c>
      <c r="B417" s="9" t="s">
        <v>3</v>
      </c>
    </row>
    <row r="418">
      <c r="A418" s="9" t="s">
        <v>504</v>
      </c>
      <c r="B418" s="9" t="s">
        <v>5</v>
      </c>
    </row>
    <row r="419">
      <c r="A419" s="9" t="s">
        <v>342</v>
      </c>
      <c r="B419" s="9" t="s">
        <v>8</v>
      </c>
    </row>
    <row r="420">
      <c r="A420" s="9" t="s">
        <v>234</v>
      </c>
      <c r="B420" s="9" t="s">
        <v>6</v>
      </c>
    </row>
    <row r="421">
      <c r="A421" s="9" t="s">
        <v>446</v>
      </c>
      <c r="B421" s="9" t="s">
        <v>5</v>
      </c>
    </row>
    <row r="422">
      <c r="A422" s="9" t="s">
        <v>484</v>
      </c>
      <c r="B422" s="9" t="s">
        <v>6</v>
      </c>
    </row>
    <row r="423">
      <c r="A423" s="9" t="s">
        <v>421</v>
      </c>
      <c r="B423" s="9" t="s">
        <v>6</v>
      </c>
    </row>
    <row r="424">
      <c r="A424" s="9" t="s">
        <v>41</v>
      </c>
      <c r="B424" s="9" t="s">
        <v>8</v>
      </c>
    </row>
    <row r="425">
      <c r="A425" s="9" t="s">
        <v>553</v>
      </c>
      <c r="B425" s="9" t="s">
        <v>2</v>
      </c>
    </row>
    <row r="426">
      <c r="A426" s="9" t="s">
        <v>305</v>
      </c>
      <c r="B426" s="9" t="s">
        <v>2</v>
      </c>
    </row>
    <row r="427">
      <c r="A427" s="9" t="s">
        <v>436</v>
      </c>
      <c r="B427" s="9" t="s">
        <v>2</v>
      </c>
    </row>
    <row r="428">
      <c r="A428" s="9" t="s">
        <v>363</v>
      </c>
      <c r="B428" s="9" t="s">
        <v>6</v>
      </c>
    </row>
    <row r="429">
      <c r="A429" s="9" t="s">
        <v>360</v>
      </c>
      <c r="B429" s="9" t="s">
        <v>2</v>
      </c>
    </row>
    <row r="430">
      <c r="A430" s="9" t="s">
        <v>541</v>
      </c>
      <c r="B430" s="9" t="s">
        <v>2</v>
      </c>
    </row>
    <row r="431">
      <c r="A431" s="9" t="s">
        <v>611</v>
      </c>
      <c r="B431" s="9" t="s">
        <v>2</v>
      </c>
    </row>
    <row r="432">
      <c r="A432" s="9" t="s">
        <v>334</v>
      </c>
      <c r="B432" s="9" t="s">
        <v>6</v>
      </c>
    </row>
    <row r="433">
      <c r="A433" s="9" t="s">
        <v>374</v>
      </c>
      <c r="B433" s="9" t="s">
        <v>2</v>
      </c>
    </row>
    <row r="434">
      <c r="A434" s="9" t="s">
        <v>105</v>
      </c>
      <c r="B434" s="9" t="s">
        <v>5</v>
      </c>
    </row>
    <row r="435">
      <c r="A435" s="9" t="s">
        <v>48</v>
      </c>
      <c r="B435" s="9" t="s">
        <v>2</v>
      </c>
    </row>
    <row r="436">
      <c r="A436" s="9" t="s">
        <v>202</v>
      </c>
      <c r="B436" s="9" t="s">
        <v>3</v>
      </c>
    </row>
    <row r="437">
      <c r="A437" s="9" t="s">
        <v>86</v>
      </c>
      <c r="B437" s="9" t="s">
        <v>5</v>
      </c>
    </row>
    <row r="438">
      <c r="A438" s="9" t="s">
        <v>203</v>
      </c>
      <c r="B438" s="9" t="s">
        <v>5</v>
      </c>
    </row>
    <row r="439">
      <c r="A439" s="9" t="s">
        <v>451</v>
      </c>
      <c r="B439" s="9" t="s">
        <v>2</v>
      </c>
    </row>
    <row r="440">
      <c r="A440" s="9" t="s">
        <v>285</v>
      </c>
      <c r="B440" s="9" t="s">
        <v>3</v>
      </c>
    </row>
    <row r="441">
      <c r="A441" s="9" t="s">
        <v>400</v>
      </c>
      <c r="B441" s="9" t="s">
        <v>5</v>
      </c>
    </row>
    <row r="442">
      <c r="A442" s="9" t="s">
        <v>254</v>
      </c>
      <c r="B442" s="9" t="s">
        <v>5</v>
      </c>
    </row>
    <row r="443">
      <c r="A443" s="9" t="s">
        <v>135</v>
      </c>
      <c r="B443" s="9" t="s">
        <v>8</v>
      </c>
    </row>
    <row r="444">
      <c r="A444" s="9" t="s">
        <v>162</v>
      </c>
      <c r="B444" s="9" t="s">
        <v>3</v>
      </c>
    </row>
    <row r="445">
      <c r="A445" s="9" t="s">
        <v>322</v>
      </c>
      <c r="B445" s="9" t="s">
        <v>6</v>
      </c>
    </row>
    <row r="446">
      <c r="A446" s="9" t="s">
        <v>635</v>
      </c>
      <c r="B446" s="9" t="s">
        <v>2</v>
      </c>
    </row>
    <row r="447">
      <c r="A447" s="9" t="s">
        <v>592</v>
      </c>
      <c r="B447" s="9" t="s">
        <v>2</v>
      </c>
    </row>
    <row r="448">
      <c r="A448" s="9" t="s">
        <v>293</v>
      </c>
      <c r="B448" s="9" t="s">
        <v>6</v>
      </c>
    </row>
    <row r="449">
      <c r="A449" s="9" t="s">
        <v>493</v>
      </c>
      <c r="B449" s="9" t="s">
        <v>7</v>
      </c>
    </row>
    <row r="450">
      <c r="A450" s="9" t="s">
        <v>204</v>
      </c>
      <c r="B450" s="9" t="s">
        <v>6</v>
      </c>
    </row>
    <row r="451">
      <c r="A451" s="9" t="s">
        <v>258</v>
      </c>
      <c r="B451" s="9" t="s">
        <v>9</v>
      </c>
    </row>
    <row r="452">
      <c r="A452" s="9" t="s">
        <v>643</v>
      </c>
      <c r="B452" s="9" t="s">
        <v>3</v>
      </c>
    </row>
    <row r="453">
      <c r="A453" s="9" t="s">
        <v>437</v>
      </c>
      <c r="B453" s="9" t="s">
        <v>3</v>
      </c>
    </row>
    <row r="454">
      <c r="A454" s="9" t="s">
        <v>352</v>
      </c>
      <c r="B454" s="9" t="s">
        <v>5</v>
      </c>
    </row>
    <row r="455">
      <c r="A455" s="9" t="s">
        <v>117</v>
      </c>
      <c r="B455" s="9" t="s">
        <v>5</v>
      </c>
    </row>
    <row r="456">
      <c r="A456" s="9" t="s">
        <v>163</v>
      </c>
      <c r="B456" s="9" t="s">
        <v>5</v>
      </c>
    </row>
    <row r="457">
      <c r="A457" s="9" t="s">
        <v>63</v>
      </c>
      <c r="B457" s="9" t="s">
        <v>6</v>
      </c>
    </row>
    <row r="458">
      <c r="A458" s="9" t="s">
        <v>45</v>
      </c>
      <c r="B458" s="9" t="s">
        <v>5</v>
      </c>
    </row>
    <row r="459">
      <c r="A459" s="9" t="s">
        <v>644</v>
      </c>
      <c r="B459" s="9" t="s">
        <v>5</v>
      </c>
    </row>
    <row r="460">
      <c r="A460" s="9" t="s">
        <v>232</v>
      </c>
      <c r="B460" s="9" t="s">
        <v>3</v>
      </c>
    </row>
    <row r="461">
      <c r="A461" s="9" t="s">
        <v>567</v>
      </c>
      <c r="B461" s="9" t="s">
        <v>2</v>
      </c>
    </row>
    <row r="462">
      <c r="A462" s="9" t="s">
        <v>380</v>
      </c>
      <c r="B462" s="9" t="s">
        <v>2</v>
      </c>
    </row>
    <row r="463">
      <c r="A463" s="9" t="s">
        <v>151</v>
      </c>
      <c r="B463" s="9" t="s">
        <v>5</v>
      </c>
    </row>
    <row r="464">
      <c r="A464" s="9" t="s">
        <v>140</v>
      </c>
      <c r="B464" s="9" t="s">
        <v>5</v>
      </c>
    </row>
    <row r="465">
      <c r="A465" s="9" t="s">
        <v>122</v>
      </c>
      <c r="B465" s="9" t="s">
        <v>3</v>
      </c>
    </row>
    <row r="466">
      <c r="A466" s="9" t="s">
        <v>453</v>
      </c>
      <c r="B466" s="9" t="s">
        <v>5</v>
      </c>
    </row>
    <row r="467">
      <c r="A467" s="9" t="s">
        <v>568</v>
      </c>
      <c r="B467" s="9" t="s">
        <v>3</v>
      </c>
    </row>
    <row r="468">
      <c r="A468" s="9" t="s">
        <v>525</v>
      </c>
      <c r="B468" s="9" t="s">
        <v>3</v>
      </c>
    </row>
    <row r="469">
      <c r="A469" s="9" t="s">
        <v>326</v>
      </c>
      <c r="B469" s="9" t="s">
        <v>3</v>
      </c>
    </row>
    <row r="470">
      <c r="A470" s="9" t="s">
        <v>351</v>
      </c>
      <c r="B470" s="9" t="s">
        <v>3</v>
      </c>
    </row>
    <row r="471">
      <c r="A471" s="9" t="s">
        <v>332</v>
      </c>
      <c r="B471" s="9" t="s">
        <v>3</v>
      </c>
    </row>
    <row r="472">
      <c r="A472" s="9" t="s">
        <v>197</v>
      </c>
      <c r="B472" s="9" t="s">
        <v>3</v>
      </c>
    </row>
    <row r="473">
      <c r="A473" s="9" t="s">
        <v>356</v>
      </c>
      <c r="B473" s="9" t="s">
        <v>3</v>
      </c>
    </row>
    <row r="474">
      <c r="A474" s="9" t="s">
        <v>345</v>
      </c>
      <c r="B474" s="9" t="s">
        <v>3</v>
      </c>
    </row>
    <row r="475">
      <c r="A475" s="9" t="s">
        <v>227</v>
      </c>
      <c r="B475" s="9" t="s">
        <v>3</v>
      </c>
    </row>
    <row r="476">
      <c r="A476" s="9" t="s">
        <v>340</v>
      </c>
      <c r="B476" s="9" t="s">
        <v>3</v>
      </c>
    </row>
    <row r="477">
      <c r="A477" s="9" t="s">
        <v>290</v>
      </c>
      <c r="B477" s="9" t="s">
        <v>3</v>
      </c>
    </row>
    <row r="478">
      <c r="A478" s="9" t="s">
        <v>511</v>
      </c>
      <c r="B478" s="9" t="s">
        <v>3</v>
      </c>
    </row>
    <row r="479">
      <c r="A479" s="9" t="s">
        <v>382</v>
      </c>
      <c r="B479" s="9" t="s">
        <v>8</v>
      </c>
    </row>
    <row r="480">
      <c r="A480" s="9" t="s">
        <v>445</v>
      </c>
      <c r="B480" s="9" t="s">
        <v>3</v>
      </c>
    </row>
    <row r="481">
      <c r="A481" s="9" t="s">
        <v>223</v>
      </c>
      <c r="B481" s="9" t="s">
        <v>6</v>
      </c>
    </row>
    <row r="482">
      <c r="A482" s="9" t="s">
        <v>601</v>
      </c>
      <c r="B482" s="9" t="s">
        <v>6</v>
      </c>
    </row>
    <row r="483">
      <c r="A483" s="9" t="s">
        <v>570</v>
      </c>
      <c r="B483" s="9" t="s">
        <v>6</v>
      </c>
    </row>
    <row r="484">
      <c r="A484" s="9" t="s">
        <v>115</v>
      </c>
      <c r="B484" s="9" t="s">
        <v>3</v>
      </c>
    </row>
    <row r="485">
      <c r="A485" s="9" t="s">
        <v>463</v>
      </c>
      <c r="B485" s="9" t="s">
        <v>3</v>
      </c>
    </row>
    <row r="486">
      <c r="A486" s="9" t="s">
        <v>458</v>
      </c>
      <c r="B486" s="9" t="s">
        <v>3</v>
      </c>
    </row>
    <row r="487">
      <c r="A487" s="9" t="s">
        <v>281</v>
      </c>
      <c r="B487" s="9" t="s">
        <v>8</v>
      </c>
    </row>
    <row r="488">
      <c r="A488" s="9" t="s">
        <v>182</v>
      </c>
      <c r="B488" s="9" t="s">
        <v>3</v>
      </c>
    </row>
    <row r="489">
      <c r="A489" s="9" t="s">
        <v>522</v>
      </c>
      <c r="B489" s="9" t="s">
        <v>7</v>
      </c>
    </row>
    <row r="490">
      <c r="A490" s="9" t="s">
        <v>198</v>
      </c>
      <c r="B490" s="9" t="s">
        <v>5</v>
      </c>
    </row>
    <row r="491">
      <c r="A491" s="9" t="s">
        <v>146</v>
      </c>
      <c r="B491" s="9" t="s">
        <v>5</v>
      </c>
    </row>
    <row r="492">
      <c r="A492" s="9" t="s">
        <v>368</v>
      </c>
      <c r="B492" s="9" t="s">
        <v>3</v>
      </c>
    </row>
    <row r="493">
      <c r="A493" s="9" t="s">
        <v>178</v>
      </c>
      <c r="B493" s="9" t="s">
        <v>5</v>
      </c>
    </row>
    <row r="494">
      <c r="A494" s="9" t="s">
        <v>217</v>
      </c>
      <c r="B494" s="9" t="s">
        <v>8</v>
      </c>
    </row>
    <row r="495">
      <c r="A495" s="9" t="s">
        <v>426</v>
      </c>
      <c r="B495" s="9" t="s">
        <v>5</v>
      </c>
    </row>
    <row r="496">
      <c r="A496" s="9" t="s">
        <v>420</v>
      </c>
      <c r="B496" s="9" t="s">
        <v>5</v>
      </c>
    </row>
    <row r="497">
      <c r="A497" s="9" t="s">
        <v>476</v>
      </c>
      <c r="B497" s="9" t="s">
        <v>5</v>
      </c>
    </row>
    <row r="498">
      <c r="A498" s="9" t="s">
        <v>415</v>
      </c>
      <c r="B498" s="9" t="s">
        <v>6</v>
      </c>
    </row>
    <row r="499">
      <c r="A499" s="9" t="s">
        <v>308</v>
      </c>
      <c r="B499" s="9" t="s">
        <v>6</v>
      </c>
    </row>
    <row r="500">
      <c r="A500" s="9" t="s">
        <v>409</v>
      </c>
      <c r="B500" s="9" t="s">
        <v>8</v>
      </c>
    </row>
    <row r="501">
      <c r="A501" s="9" t="s">
        <v>598</v>
      </c>
      <c r="B501" s="9" t="s">
        <v>2</v>
      </c>
    </row>
    <row r="502">
      <c r="A502" s="9" t="s">
        <v>253</v>
      </c>
      <c r="B502" s="9" t="s">
        <v>4</v>
      </c>
    </row>
    <row r="503">
      <c r="A503" s="9" t="s">
        <v>325</v>
      </c>
      <c r="B503" s="9" t="s">
        <v>2</v>
      </c>
    </row>
    <row r="504">
      <c r="A504" s="9" t="s">
        <v>30</v>
      </c>
      <c r="B504" s="9" t="s">
        <v>7</v>
      </c>
    </row>
    <row r="505">
      <c r="A505" s="9" t="s">
        <v>142</v>
      </c>
      <c r="B505" s="9" t="s">
        <v>8</v>
      </c>
    </row>
    <row r="506">
      <c r="A506" s="9" t="s">
        <v>316</v>
      </c>
      <c r="B506" s="9" t="s">
        <v>8</v>
      </c>
    </row>
    <row r="507">
      <c r="A507" s="9" t="s">
        <v>180</v>
      </c>
      <c r="B507" s="9" t="s">
        <v>8</v>
      </c>
    </row>
    <row r="508">
      <c r="A508" s="9" t="s">
        <v>452</v>
      </c>
      <c r="B508" s="9" t="s">
        <v>3</v>
      </c>
    </row>
    <row r="509">
      <c r="A509" s="9" t="s">
        <v>70</v>
      </c>
      <c r="B509" s="9" t="s">
        <v>8</v>
      </c>
    </row>
    <row r="510">
      <c r="A510" s="9" t="s">
        <v>199</v>
      </c>
      <c r="B510" s="9" t="s">
        <v>8</v>
      </c>
    </row>
    <row r="511">
      <c r="A511" s="9" t="s">
        <v>148</v>
      </c>
      <c r="B511" s="9" t="s">
        <v>8</v>
      </c>
    </row>
    <row r="512">
      <c r="A512" s="9" t="s">
        <v>412</v>
      </c>
      <c r="B512" s="9" t="s">
        <v>3</v>
      </c>
    </row>
    <row r="513">
      <c r="A513" s="9" t="s">
        <v>550</v>
      </c>
      <c r="B513" s="9" t="s">
        <v>5</v>
      </c>
    </row>
    <row r="514">
      <c r="A514" s="9" t="s">
        <v>370</v>
      </c>
      <c r="B514" s="9" t="s">
        <v>6</v>
      </c>
    </row>
    <row r="515">
      <c r="A515" s="9" t="s">
        <v>187</v>
      </c>
      <c r="B515" s="9" t="s">
        <v>8</v>
      </c>
    </row>
    <row r="516">
      <c r="A516" s="9" t="s">
        <v>377</v>
      </c>
      <c r="B516" s="9" t="s">
        <v>6</v>
      </c>
    </row>
    <row r="517">
      <c r="A517" s="9" t="s">
        <v>418</v>
      </c>
      <c r="B517" s="9" t="s">
        <v>2</v>
      </c>
    </row>
    <row r="518">
      <c r="A518" s="9" t="s">
        <v>279</v>
      </c>
      <c r="B518" s="9" t="s">
        <v>6</v>
      </c>
    </row>
    <row r="519">
      <c r="A519" s="9" t="s">
        <v>65</v>
      </c>
      <c r="B519" s="9" t="s">
        <v>9</v>
      </c>
    </row>
    <row r="520">
      <c r="A520" s="9" t="s">
        <v>388</v>
      </c>
      <c r="B520" s="9" t="s">
        <v>6</v>
      </c>
    </row>
    <row r="521">
      <c r="A521" s="9" t="s">
        <v>210</v>
      </c>
      <c r="B521" s="9" t="s">
        <v>6</v>
      </c>
    </row>
    <row r="522">
      <c r="A522" s="9" t="s">
        <v>169</v>
      </c>
      <c r="B522" s="9" t="s">
        <v>5</v>
      </c>
    </row>
    <row r="523">
      <c r="A523" s="9" t="s">
        <v>155</v>
      </c>
      <c r="B523" s="9" t="s">
        <v>3</v>
      </c>
    </row>
    <row r="524">
      <c r="A524" s="9" t="s">
        <v>640</v>
      </c>
      <c r="B524" s="9" t="s">
        <v>8</v>
      </c>
    </row>
    <row r="525">
      <c r="A525" s="9" t="s">
        <v>555</v>
      </c>
      <c r="B525" s="9" t="s">
        <v>5</v>
      </c>
    </row>
    <row r="526">
      <c r="A526" s="9" t="s">
        <v>133</v>
      </c>
      <c r="B526" s="9" t="s">
        <v>5</v>
      </c>
    </row>
    <row r="527">
      <c r="A527" s="9" t="s">
        <v>32</v>
      </c>
      <c r="B527" s="9" t="s">
        <v>9</v>
      </c>
    </row>
    <row r="528">
      <c r="A528" s="9" t="s">
        <v>127</v>
      </c>
      <c r="B528" s="9" t="s">
        <v>3</v>
      </c>
    </row>
    <row r="529">
      <c r="A529" s="9" t="s">
        <v>214</v>
      </c>
      <c r="B529" s="9" t="s">
        <v>3</v>
      </c>
    </row>
    <row r="530">
      <c r="A530" s="9" t="s">
        <v>339</v>
      </c>
      <c r="B530" s="9" t="s">
        <v>2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28.63"/>
    <col customWidth="1" min="2" max="2" width="23.88"/>
    <col customWidth="1" min="3" max="3" width="16.13"/>
    <col customWidth="1" min="4" max="4" width="23.38"/>
    <col customWidth="1" min="5" max="5" width="23.88"/>
    <col customWidth="1" min="6" max="6" width="24.0"/>
    <col customWidth="1" min="7" max="7" width="20.88"/>
    <col customWidth="1" min="8" max="8" width="18.75"/>
    <col customWidth="1" min="9" max="9" width="22.0"/>
  </cols>
  <sheetData>
    <row r="1">
      <c r="A1" s="2" t="s">
        <v>2</v>
      </c>
      <c r="B1" s="2" t="s">
        <v>3</v>
      </c>
      <c r="C1" s="2" t="s">
        <v>4</v>
      </c>
      <c r="D1" s="2" t="s">
        <v>5</v>
      </c>
      <c r="E1" s="2" t="s">
        <v>6</v>
      </c>
      <c r="F1" s="2" t="s">
        <v>7</v>
      </c>
      <c r="G1" s="2" t="s">
        <v>8</v>
      </c>
      <c r="H1" s="2" t="s">
        <v>9</v>
      </c>
      <c r="I1" s="2" t="s">
        <v>10</v>
      </c>
    </row>
    <row r="2">
      <c r="A2" s="10" t="str">
        <f>IFERROR(__xludf.DUMMYFUNCTION("query(
        {'Spell Data'!$A$2:$B$530},
        ""Select Col1 where Col2='""&amp;A$1&amp;""'""
     )"),"Absolute Guard")</f>
        <v>Absolute Guard</v>
      </c>
      <c r="B2" s="10" t="str">
        <f>IFERROR(__xludf.DUMMYFUNCTION("query(
        {'Spell Data'!$A$2:$B$530},
        ""Select Col1 where Col2='""&amp;B$1&amp;""'""
     )"),"Aerial Servant")</f>
        <v>Aerial Servant</v>
      </c>
      <c r="C2" s="10" t="str">
        <f>IFERROR(__xludf.DUMMYFUNCTION("query(
        {'Spell Data'!$A$2:$B$530},
        ""Select Col1 where Col2='""&amp;C$1&amp;""'""
     )"),"Beast Sense")</f>
        <v>Beast Sense</v>
      </c>
      <c r="D2" s="10" t="str">
        <f>IFERROR(__xludf.DUMMYFUNCTION("query(
        {'Spell Data'!$A$2:$B$530},
        ""Select Col1 where Col2='""&amp;D$1&amp;""'""
     )"),"Animal Growth")</f>
        <v>Animal Growth</v>
      </c>
      <c r="E2" s="10" t="str">
        <f>IFERROR(__xludf.DUMMYFUNCTION("query(
        {'Spell Data'!$A$2:$B$530},
        ""Select Col1 where Col2='""&amp;E$1&amp;""'""
     )"),"Acid Storm")</f>
        <v>Acid Storm</v>
      </c>
      <c r="F2" s="10" t="str">
        <f>IFERROR(__xludf.DUMMYFUNCTION("query(
        {'Spell Data'!$A$2:$B$530},
        ""Select Col1 where Col2='""&amp;F$1&amp;""'""
     )"),"Animal Rage")</f>
        <v>Animal Rage</v>
      </c>
      <c r="G2" s="10" t="str">
        <f>IFERROR(__xludf.DUMMYFUNCTION("query(
        {'Spell Data'!$A$2:$B$530},
        ""Select Col1 where Col2='""&amp;G$1&amp;""'""
     )"),"Abi-Dalzim's Horrid Wilting")</f>
        <v>Abi-Dalzim's Horrid Wilting</v>
      </c>
      <c r="H2" s="10" t="str">
        <f>IFERROR(__xludf.DUMMYFUNCTION("query(
        {'Spell Data'!$A$2:$B$530},
        ""Select Col1 where Col2='""&amp;H$1&amp;""'""
     )"),"Backstab Sequencer")</f>
        <v>Backstab Sequencer</v>
      </c>
      <c r="I2" s="10" t="str">
        <f>IFERROR(__xludf.DUMMYFUNCTION("query(
        {'Spell Data'!$A$2:$B$530},
        ""Select Col1 where Col2='""&amp;I$1&amp;""'""
     )"),"Chaos Shield*")</f>
        <v>Chaos Shield*</v>
      </c>
    </row>
    <row r="3">
      <c r="A3" s="10" t="str">
        <f>IFERROR(__xludf.DUMMYFUNCTION("""COMPUTED_VALUE"""),"Absolute Immunity")</f>
        <v>Absolute Immunity</v>
      </c>
      <c r="B3" s="10" t="str">
        <f>IFERROR(__xludf.DUMMYFUNCTION("""COMPUTED_VALUE"""),"Animal Summoning 1")</f>
        <v>Animal Summoning 1</v>
      </c>
      <c r="C3" s="10" t="str">
        <f>IFERROR(__xludf.DUMMYFUNCTION("""COMPUTED_VALUE"""),"Clairvoyance")</f>
        <v>Clairvoyance</v>
      </c>
      <c r="D3" s="10" t="str">
        <f>IFERROR(__xludf.DUMMYFUNCTION("""COMPUTED_VALUE"""),"Attain Perfection")</f>
        <v>Attain Perfection</v>
      </c>
      <c r="E3" s="10" t="str">
        <f>IFERROR(__xludf.DUMMYFUNCTION("""COMPUTED_VALUE"""),"Agannazar's Scorcher")</f>
        <v>Agannazar's Scorcher</v>
      </c>
      <c r="F3" s="10" t="str">
        <f>IFERROR(__xludf.DUMMYFUNCTION("""COMPUTED_VALUE"""),"Chaos")</f>
        <v>Chaos</v>
      </c>
      <c r="G3" s="10" t="str">
        <f>IFERROR(__xludf.DUMMYFUNCTION("""COMPUTED_VALUE"""),"Aid")</f>
        <v>Aid</v>
      </c>
      <c r="H3" s="10" t="str">
        <f>IFERROR(__xludf.DUMMYFUNCTION("""COMPUTED_VALUE"""),"Blindness")</f>
        <v>Blindness</v>
      </c>
      <c r="I3" s="10" t="str">
        <f>IFERROR(__xludf.DUMMYFUNCTION("""COMPUTED_VALUE"""),"Disruptive Surge")</f>
        <v>Disruptive Surge</v>
      </c>
    </row>
    <row r="4">
      <c r="A4" s="10" t="str">
        <f>IFERROR(__xludf.DUMMYFUNCTION("""COMPUTED_VALUE"""),"Absord Spell")</f>
        <v>Absord Spell</v>
      </c>
      <c r="B4" s="10" t="str">
        <f>IFERROR(__xludf.DUMMYFUNCTION("""COMPUTED_VALUE"""),"Animal Summoning 2")</f>
        <v>Animal Summoning 2</v>
      </c>
      <c r="C4" s="10" t="str">
        <f>IFERROR(__xludf.DUMMYFUNCTION("""COMPUTED_VALUE"""),"Contact Other Plane")</f>
        <v>Contact Other Plane</v>
      </c>
      <c r="D4" s="10" t="str">
        <f>IFERROR(__xludf.DUMMYFUNCTION("""COMPUTED_VALUE"""),"Barkskin")</f>
        <v>Barkskin</v>
      </c>
      <c r="E4" s="10" t="str">
        <f>IFERROR(__xludf.DUMMYFUNCTION("""COMPUTED_VALUE"""),"Alicorn Lance")</f>
        <v>Alicorn Lance</v>
      </c>
      <c r="F4" s="10" t="str">
        <f>IFERROR(__xludf.DUMMYFUNCTION("""COMPUTED_VALUE"""),"Chaotic Commands")</f>
        <v>Chaotic Commands</v>
      </c>
      <c r="G4" s="10" t="str">
        <f>IFERROR(__xludf.DUMMYFUNCTION("""COMPUTED_VALUE"""),"Animate Dead")</f>
        <v>Animate Dead</v>
      </c>
      <c r="H4" s="10" t="str">
        <f>IFERROR(__xludf.DUMMYFUNCTION("""COMPUTED_VALUE"""),"Blur")</f>
        <v>Blur</v>
      </c>
      <c r="I4" s="10" t="str">
        <f>IFERROR(__xludf.DUMMYFUNCTION("""COMPUTED_VALUE"""),"Improved Chaos Shield*")</f>
        <v>Improved Chaos Shield*</v>
      </c>
    </row>
    <row r="5">
      <c r="A5" s="10" t="str">
        <f>IFERROR(__xludf.DUMMYFUNCTION("""COMPUTED_VALUE"""),"Antiharm Shell")</f>
        <v>Antiharm Shell</v>
      </c>
      <c r="B5" s="10" t="str">
        <f>IFERROR(__xludf.DUMMYFUNCTION("""COMPUTED_VALUE"""),"Animal Summoning 3")</f>
        <v>Animal Summoning 3</v>
      </c>
      <c r="C5" s="10" t="str">
        <f>IFERROR(__xludf.DUMMYFUNCTION("""COMPUTED_VALUE"""),"Detect Evil")</f>
        <v>Detect Evil</v>
      </c>
      <c r="D5" s="10" t="str">
        <f>IFERROR(__xludf.DUMMYFUNCTION("""COMPUTED_VALUE"""),"Barrage")</f>
        <v>Barrage</v>
      </c>
      <c r="E5" s="10" t="str">
        <f>IFERROR(__xludf.DUMMYFUNCTION("""COMPUTED_VALUE"""),"Aura of Flaming Death")</f>
        <v>Aura of Flaming Death</v>
      </c>
      <c r="F5" s="10" t="str">
        <f>IFERROR(__xludf.DUMMYFUNCTION("""COMPUTED_VALUE"""),"Charm Person")</f>
        <v>Charm Person</v>
      </c>
      <c r="G5" s="10" t="str">
        <f>IFERROR(__xludf.DUMMYFUNCTION("""COMPUTED_VALUE"""),"Beltyn's Burning Blood")</f>
        <v>Beltyn's Burning Blood</v>
      </c>
      <c r="H5" s="10" t="str">
        <f>IFERROR(__xludf.DUMMYFUNCTION("""COMPUTED_VALUE"""),"Camouflage")</f>
        <v>Camouflage</v>
      </c>
      <c r="I5" s="10" t="str">
        <f>IFERROR(__xludf.DUMMYFUNCTION("""COMPUTED_VALUE"""),"Nahal's Reckless Dweomer*")</f>
        <v>Nahal's Reckless Dweomer*</v>
      </c>
    </row>
    <row r="6">
      <c r="A6" s="10" t="str">
        <f>IFERROR(__xludf.DUMMYFUNCTION("""COMPUTED_VALUE"""),"Antimagic Shell")</f>
        <v>Antimagic Shell</v>
      </c>
      <c r="B6" s="10" t="str">
        <f>IFERROR(__xludf.DUMMYFUNCTION("""COMPUTED_VALUE"""),"Armor")</f>
        <v>Armor</v>
      </c>
      <c r="C6" s="10" t="str">
        <f>IFERROR(__xludf.DUMMYFUNCTION("""COMPUTED_VALUE"""),"Detect Illusion")</f>
        <v>Detect Illusion</v>
      </c>
      <c r="D6" s="10" t="str">
        <f>IFERROR(__xludf.DUMMYFUNCTION("""COMPUTED_VALUE"""),"Beast Claw")</f>
        <v>Beast Claw</v>
      </c>
      <c r="E6" s="10" t="str">
        <f>IFERROR(__xludf.DUMMYFUNCTION("""COMPUTED_VALUE"""),"Ball Lightning")</f>
        <v>Ball Lightning</v>
      </c>
      <c r="F6" s="10" t="str">
        <f>IFERROR(__xludf.DUMMYFUNCTION("""COMPUTED_VALUE"""),"Charm Person or Mammal")</f>
        <v>Charm Person or Mammal</v>
      </c>
      <c r="G6" s="10" t="str">
        <f>IFERROR(__xludf.DUMMYFUNCTION("""COMPUTED_VALUE"""),"Cause Critical Wounds")</f>
        <v>Cause Critical Wounds</v>
      </c>
      <c r="H6" s="10" t="str">
        <f>IFERROR(__xludf.DUMMYFUNCTION("""COMPUTED_VALUE"""),"Clone Other")</f>
        <v>Clone Other</v>
      </c>
    </row>
    <row r="7">
      <c r="A7" s="10" t="str">
        <f>IFERROR(__xludf.DUMMYFUNCTION("""COMPUTED_VALUE"""),"Armor of Faith")</f>
        <v>Armor of Faith</v>
      </c>
      <c r="B7" s="10" t="str">
        <f>IFERROR(__xludf.DUMMYFUNCTION("""COMPUTED_VALUE"""),"Bless")</f>
        <v>Bless</v>
      </c>
      <c r="C7" s="10" t="str">
        <f>IFERROR(__xludf.DUMMYFUNCTION("""COMPUTED_VALUE"""),"Detect Invisibility")</f>
        <v>Detect Invisibility</v>
      </c>
      <c r="D7" s="10" t="str">
        <f>IFERROR(__xludf.DUMMYFUNCTION("""COMPUTED_VALUE"""),"Blood Rage")</f>
        <v>Blood Rage</v>
      </c>
      <c r="E7" s="10" t="str">
        <f>IFERROR(__xludf.DUMMYFUNCTION("""COMPUTED_VALUE"""),"Bigby's Clenched Fist")</f>
        <v>Bigby's Clenched Fist</v>
      </c>
      <c r="F7" s="10" t="str">
        <f>IFERROR(__xludf.DUMMYFUNCTION("""COMPUTED_VALUE"""),"Command")</f>
        <v>Command</v>
      </c>
      <c r="G7" s="10" t="str">
        <f>IFERROR(__xludf.DUMMYFUNCTION("""COMPUTED_VALUE"""),"Cause Light Wounds")</f>
        <v>Cause Light Wounds</v>
      </c>
      <c r="H7" s="10" t="str">
        <f>IFERROR(__xludf.DUMMYFUNCTION("""COMPUTED_VALUE"""),"Deafness")</f>
        <v>Deafness</v>
      </c>
    </row>
    <row r="8">
      <c r="A8" s="10" t="str">
        <f>IFERROR(__xludf.DUMMYFUNCTION("""COMPUTED_VALUE"""),"Bounce Spell")</f>
        <v>Bounce Spell</v>
      </c>
      <c r="B8" s="10" t="str">
        <f>IFERROR(__xludf.DUMMYFUNCTION("""COMPUTED_VALUE"""),"Cacofiend")</f>
        <v>Cacofiend</v>
      </c>
      <c r="C8" s="10" t="str">
        <f>IFERROR(__xludf.DUMMYFUNCTION("""COMPUTED_VALUE"""),"Detect Magic")</f>
        <v>Detect Magic</v>
      </c>
      <c r="D8" s="10" t="str">
        <f>IFERROR(__xludf.DUMMYFUNCTION("""COMPUTED_VALUE"""),"Burning Hands")</f>
        <v>Burning Hands</v>
      </c>
      <c r="E8" s="10" t="str">
        <f>IFERROR(__xludf.DUMMYFUNCTION("""COMPUTED_VALUE"""),"Bigby's Crushing Hand")</f>
        <v>Bigby's Crushing Hand</v>
      </c>
      <c r="F8" s="10" t="str">
        <f>IFERROR(__xludf.DUMMYFUNCTION("""COMPUTED_VALUE"""),"Confusion")</f>
        <v>Confusion</v>
      </c>
      <c r="G8" s="10" t="str">
        <f>IFERROR(__xludf.DUMMYFUNCTION("""COMPUTED_VALUE"""),"Cause Medium Wounds")</f>
        <v>Cause Medium Wounds</v>
      </c>
      <c r="H8" s="10" t="str">
        <f>IFERROR(__xludf.DUMMYFUNCTION("""COMPUTED_VALUE"""),"Demi-Shadow Monsters")</f>
        <v>Demi-Shadow Monsters</v>
      </c>
    </row>
    <row r="9">
      <c r="A9" s="10" t="str">
        <f>IFERROR(__xludf.DUMMYFUNCTION("""COMPUTED_VALUE"""),"Breach")</f>
        <v>Breach</v>
      </c>
      <c r="B9" s="10" t="str">
        <f>IFERROR(__xludf.DUMMYFUNCTION("""COMPUTED_VALUE"""),"Call Water Weirds")</f>
        <v>Call Water Weirds</v>
      </c>
      <c r="C9" s="10" t="str">
        <f>IFERROR(__xludf.DUMMYFUNCTION("""COMPUTED_VALUE"""),"Executioner's Eyes")</f>
        <v>Executioner's Eyes</v>
      </c>
      <c r="D9" s="10" t="str">
        <f>IFERROR(__xludf.DUMMYFUNCTION("""COMPUTED_VALUE"""),"Call Lightning")</f>
        <v>Call Lightning</v>
      </c>
      <c r="E9" s="10" t="str">
        <f>IFERROR(__xludf.DUMMYFUNCTION("""COMPUTED_VALUE"""),"Black Blade of Disaster")</f>
        <v>Black Blade of Disaster</v>
      </c>
      <c r="F9" s="10" t="str">
        <f>IFERROR(__xludf.DUMMYFUNCTION("""COMPUTED_VALUE"""),"Contagious Fear")</f>
        <v>Contagious Fear</v>
      </c>
      <c r="G9" s="10" t="str">
        <f>IFERROR(__xludf.DUMMYFUNCTION("""COMPUTED_VALUE"""),"Cause Moderate Wounds")</f>
        <v>Cause Moderate Wounds</v>
      </c>
      <c r="H9" s="10" t="str">
        <f>IFERROR(__xludf.DUMMYFUNCTION("""COMPUTED_VALUE"""),"Displacement")</f>
        <v>Displacement</v>
      </c>
    </row>
    <row r="10">
      <c r="A10" s="10" t="str">
        <f>IFERROR(__xludf.DUMMYFUNCTION("""COMPUTED_VALUE"""),"Cause Disease")</f>
        <v>Cause Disease</v>
      </c>
      <c r="B10" s="10" t="str">
        <f>IFERROR(__xludf.DUMMYFUNCTION("""COMPUTED_VALUE"""),"Call Woodland Beings")</f>
        <v>Call Woodland Beings</v>
      </c>
      <c r="C10" s="10" t="str">
        <f>IFERROR(__xludf.DUMMYFUNCTION("""COMPUTED_VALUE"""),"Extend Vision")</f>
        <v>Extend Vision</v>
      </c>
      <c r="D10" s="10" t="str">
        <f>IFERROR(__xludf.DUMMYFUNCTION("""COMPUTED_VALUE"""),"Cat's Grace")</f>
        <v>Cat's Grace</v>
      </c>
      <c r="E10" s="10" t="str">
        <f>IFERROR(__xludf.DUMMYFUNCTION("""COMPUTED_VALUE"""),"Blade Barrier")</f>
        <v>Blade Barrier</v>
      </c>
      <c r="F10" s="10" t="str">
        <f>IFERROR(__xludf.DUMMYFUNCTION("""COMPUTED_VALUE"""),"Contingency Curse")</f>
        <v>Contingency Curse</v>
      </c>
      <c r="G10" s="10" t="str">
        <f>IFERROR(__xludf.DUMMYFUNCTION("""COMPUTED_VALUE"""),"Cause Serious Wounds")</f>
        <v>Cause Serious Wounds</v>
      </c>
      <c r="H10" s="10" t="str">
        <f>IFERROR(__xludf.DUMMYFUNCTION("""COMPUTED_VALUE"""),"Globe of Invisibility")</f>
        <v>Globe of Invisibility</v>
      </c>
    </row>
    <row r="11">
      <c r="A11" s="10" t="str">
        <f>IFERROR(__xludf.DUMMYFUNCTION("""COMPUTED_VALUE"""),"Cure Disease")</f>
        <v>Cure Disease</v>
      </c>
      <c r="B11" s="10" t="str">
        <f>IFERROR(__xludf.DUMMYFUNCTION("""COMPUTED_VALUE"""),"Carrion Summons")</f>
        <v>Carrion Summons</v>
      </c>
      <c r="C11" s="10" t="str">
        <f>IFERROR(__xludf.DUMMYFUNCTION("""COMPUTED_VALUE"""),"Far Cast")</f>
        <v>Far Cast</v>
      </c>
      <c r="D11" s="10" t="str">
        <f>IFERROR(__xludf.DUMMYFUNCTION("""COMPUTED_VALUE"""),"Champion's Strength")</f>
        <v>Champion's Strength</v>
      </c>
      <c r="E11" s="10" t="str">
        <f>IFERROR(__xludf.DUMMYFUNCTION("""COMPUTED_VALUE"""),"Bolt of Glory")</f>
        <v>Bolt of Glory</v>
      </c>
      <c r="F11" s="10" t="str">
        <f>IFERROR(__xludf.DUMMYFUNCTION("""COMPUTED_VALUE"""),"Control Slime")</f>
        <v>Control Slime</v>
      </c>
      <c r="G11" s="10" t="str">
        <f>IFERROR(__xludf.DUMMYFUNCTION("""COMPUTED_VALUE"""),"Chill Touch")</f>
        <v>Chill Touch</v>
      </c>
      <c r="H11" s="10" t="str">
        <f>IFERROR(__xludf.DUMMYFUNCTION("""COMPUTED_VALUE"""),"Improved Invisibility")</f>
        <v>Improved Invisibility</v>
      </c>
    </row>
    <row r="12">
      <c r="A12" s="10" t="str">
        <f>IFERROR(__xludf.DUMMYFUNCTION("""COMPUTED_VALUE"""),"Damage Turning")</f>
        <v>Damage Turning</v>
      </c>
      <c r="B12" s="10" t="str">
        <f>IFERROR(__xludf.DUMMYFUNCTION("""COMPUTED_VALUE"""),"Chant")</f>
        <v>Chant</v>
      </c>
      <c r="C12" s="10" t="str">
        <f>IFERROR(__xludf.DUMMYFUNCTION("""COMPUTED_VALUE"""),"Farsight")</f>
        <v>Farsight</v>
      </c>
      <c r="D12" s="10" t="str">
        <f>IFERROR(__xludf.DUMMYFUNCTION("""COMPUTED_VALUE"""),"Cloud of Pestilance")</f>
        <v>Cloud of Pestilance</v>
      </c>
      <c r="E12" s="10" t="str">
        <f>IFERROR(__xludf.DUMMYFUNCTION("""COMPUTED_VALUE"""),"Chain Contingency")</f>
        <v>Chain Contingency</v>
      </c>
      <c r="F12" s="10" t="str">
        <f>IFERROR(__xludf.DUMMYFUNCTION("""COMPUTED_VALUE"""),"Critical Spell")</f>
        <v>Critical Spell</v>
      </c>
      <c r="G12" s="10" t="str">
        <f>IFERROR(__xludf.DUMMYFUNCTION("""COMPUTED_VALUE"""),"Circle of Bones")</f>
        <v>Circle of Bones</v>
      </c>
      <c r="H12" s="10" t="str">
        <f>IFERROR(__xludf.DUMMYFUNCTION("""COMPUTED_VALUE"""),"Invisibility")</f>
        <v>Invisibility</v>
      </c>
    </row>
    <row r="13">
      <c r="A13" s="10" t="str">
        <f>IFERROR(__xludf.DUMMYFUNCTION("""COMPUTED_VALUE"""),"Dispel Magic")</f>
        <v>Dispel Magic</v>
      </c>
      <c r="B13" s="10" t="str">
        <f>IFERROR(__xludf.DUMMYFUNCTION("""COMPUTED_VALUE"""),"Cloak of Fear")</f>
        <v>Cloak of Fear</v>
      </c>
      <c r="C13" s="10" t="str">
        <f>IFERROR(__xludf.DUMMYFUNCTION("""COMPUTED_VALUE"""),"Find Traps")</f>
        <v>Find Traps</v>
      </c>
      <c r="D13" s="10" t="str">
        <f>IFERROR(__xludf.DUMMYFUNCTION("""COMPUTED_VALUE"""),"Color Spray")</f>
        <v>Color Spray</v>
      </c>
      <c r="E13" s="10" t="str">
        <f>IFERROR(__xludf.DUMMYFUNCTION("""COMPUTED_VALUE"""),"Chain Lightning")</f>
        <v>Chain Lightning</v>
      </c>
      <c r="F13" s="10" t="str">
        <f>IFERROR(__xludf.DUMMYFUNCTION("""COMPUTED_VALUE"""),"Defensive Harmony")</f>
        <v>Defensive Harmony</v>
      </c>
      <c r="G13" s="10" t="str">
        <f>IFERROR(__xludf.DUMMYFUNCTION("""COMPUTED_VALUE"""),"Contagion")</f>
        <v>Contagion</v>
      </c>
      <c r="H13" s="10" t="str">
        <f>IFERROR(__xludf.DUMMYFUNCTION("""COMPUTED_VALUE"""),"Invisibility 10' Radius")</f>
        <v>Invisibility 10' Radius</v>
      </c>
    </row>
    <row r="14">
      <c r="A14" s="10" t="str">
        <f>IFERROR(__xludf.DUMMYFUNCTION("""COMPUTED_VALUE"""),"Entropy Shield")</f>
        <v>Entropy Shield</v>
      </c>
      <c r="B14" s="10" t="str">
        <f>IFERROR(__xludf.DUMMYFUNCTION("""COMPUTED_VALUE"""),"Colossal Growth")</f>
        <v>Colossal Growth</v>
      </c>
      <c r="C14" s="10" t="str">
        <f>IFERROR(__xludf.DUMMYFUNCTION("""COMPUTED_VALUE"""),"Hunter's Mark")</f>
        <v>Hunter's Mark</v>
      </c>
      <c r="D14" s="10" t="str">
        <f>IFERROR(__xludf.DUMMYFUNCTION("""COMPUTED_VALUE"""),"Critical Boon")</f>
        <v>Critical Boon</v>
      </c>
      <c r="E14" s="10" t="str">
        <f>IFERROR(__xludf.DUMMYFUNCTION("""COMPUTED_VALUE"""),"Chromatic Orb")</f>
        <v>Chromatic Orb</v>
      </c>
      <c r="F14" s="10" t="str">
        <f>IFERROR(__xludf.DUMMYFUNCTION("""COMPUTED_VALUE"""),"Dire Charm")</f>
        <v>Dire Charm</v>
      </c>
      <c r="G14" s="10" t="str">
        <f>IFERROR(__xludf.DUMMYFUNCTION("""COMPUTED_VALUE"""),"Contingent Resurrection")</f>
        <v>Contingent Resurrection</v>
      </c>
      <c r="H14" s="10" t="str">
        <f>IFERROR(__xludf.DUMMYFUNCTION("""COMPUTED_VALUE"""),"Major Mirror Image")</f>
        <v>Major Mirror Image</v>
      </c>
    </row>
    <row r="15">
      <c r="A15" s="10" t="str">
        <f>IFERROR(__xludf.DUMMYFUNCTION("""COMPUTED_VALUE"""),"Exaltation")</f>
        <v>Exaltation</v>
      </c>
      <c r="B15" s="10" t="str">
        <f>IFERROR(__xludf.DUMMYFUNCTION("""COMPUTED_VALUE"""),"Comet")</f>
        <v>Comet</v>
      </c>
      <c r="C15" s="10" t="str">
        <f>IFERROR(__xludf.DUMMYFUNCTION("""COMPUTED_VALUE"""),"Identify")</f>
        <v>Identify</v>
      </c>
      <c r="D15" s="10" t="str">
        <f>IFERROR(__xludf.DUMMYFUNCTION("""COMPUTED_VALUE"""),"Dimension Door")</f>
        <v>Dimension Door</v>
      </c>
      <c r="E15" s="10" t="str">
        <f>IFERROR(__xludf.DUMMYFUNCTION("""COMPUTED_VALUE"""),"Cloudburst")</f>
        <v>Cloudburst</v>
      </c>
      <c r="F15" s="10" t="str">
        <f>IFERROR(__xludf.DUMMYFUNCTION("""COMPUTED_VALUE"""),"Disarm")</f>
        <v>Disarm</v>
      </c>
      <c r="G15" s="10" t="str">
        <f>IFERROR(__xludf.DUMMYFUNCTION("""COMPUTED_VALUE"""),"Control Undead")</f>
        <v>Control Undead</v>
      </c>
      <c r="H15" s="10" t="str">
        <f>IFERROR(__xludf.DUMMYFUNCTION("""COMPUTED_VALUE"""),"Mass Invisibility")</f>
        <v>Mass Invisibility</v>
      </c>
    </row>
    <row r="16">
      <c r="A16" s="10" t="str">
        <f>IFERROR(__xludf.DUMMYFUNCTION("""COMPUTED_VALUE"""),"Expose to the Elements")</f>
        <v>Expose to the Elements</v>
      </c>
      <c r="B16" s="10" t="str">
        <f>IFERROR(__xludf.DUMMYFUNCTION("""COMPUTED_VALUE"""),"Commando Conjuration")</f>
        <v>Commando Conjuration</v>
      </c>
      <c r="C16" s="10" t="str">
        <f>IFERROR(__xludf.DUMMYFUNCTION("""COMPUTED_VALUE"""),"Infravision")</f>
        <v>Infravision</v>
      </c>
      <c r="D16" s="10" t="str">
        <f>IFERROR(__xludf.DUMMYFUNCTION("""COMPUTED_VALUE"""),"Disintigrate")</f>
        <v>Disintigrate</v>
      </c>
      <c r="E16" s="10" t="str">
        <f>IFERROR(__xludf.DUMMYFUNCTION("""COMPUTED_VALUE"""),"Cone of Cold")</f>
        <v>Cone of Cold</v>
      </c>
      <c r="F16" s="10" t="str">
        <f>IFERROR(__xludf.DUMMYFUNCTION("""COMPUTED_VALUE"""),"Domination")</f>
        <v>Domination</v>
      </c>
      <c r="G16" s="10" t="str">
        <f>IFERROR(__xludf.DUMMYFUNCTION("""COMPUTED_VALUE"""),"Culling Thought")</f>
        <v>Culling Thought</v>
      </c>
      <c r="H16" s="10" t="str">
        <f>IFERROR(__xludf.DUMMYFUNCTION("""COMPUTED_VALUE"""),"Mirror Image")</f>
        <v>Mirror Image</v>
      </c>
    </row>
    <row r="17">
      <c r="A17" s="10" t="str">
        <f>IFERROR(__xludf.DUMMYFUNCTION("""COMPUTED_VALUE"""),"Forcecage")</f>
        <v>Forcecage</v>
      </c>
      <c r="B17" s="10" t="str">
        <f>IFERROR(__xludf.DUMMYFUNCTION("""COMPUTED_VALUE"""),"Conjure Air Elemental")</f>
        <v>Conjure Air Elemental</v>
      </c>
      <c r="C17" s="10" t="str">
        <f>IFERROR(__xludf.DUMMYFUNCTION("""COMPUTED_VALUE"""),"Invisibility Purge")</f>
        <v>Invisibility Purge</v>
      </c>
      <c r="D17" s="10" t="str">
        <f>IFERROR(__xludf.DUMMYFUNCTION("""COMPUTED_VALUE"""),"Dolorous Decay")</f>
        <v>Dolorous Decay</v>
      </c>
      <c r="E17" s="10" t="str">
        <f>IFERROR(__xludf.DUMMYFUNCTION("""COMPUTED_VALUE"""),"Contingency")</f>
        <v>Contingency</v>
      </c>
      <c r="F17" s="10" t="str">
        <f>IFERROR(__xludf.DUMMYFUNCTION("""COMPUTED_VALUE"""),"Eclectic Recall")</f>
        <v>Eclectic Recall</v>
      </c>
      <c r="G17" s="10" t="str">
        <f>IFERROR(__xludf.DUMMYFUNCTION("""COMPUTED_VALUE"""),"Cure Critical Wounds")</f>
        <v>Cure Critical Wounds</v>
      </c>
      <c r="H17" s="10" t="str">
        <f>IFERROR(__xludf.DUMMYFUNCTION("""COMPUTED_VALUE"""),"Mislead")</f>
        <v>Mislead</v>
      </c>
    </row>
    <row r="18">
      <c r="A18" s="10" t="str">
        <f>IFERROR(__xludf.DUMMYFUNCTION("""COMPUTED_VALUE"""),"Free Action")</f>
        <v>Free Action</v>
      </c>
      <c r="B18" s="10" t="str">
        <f>IFERROR(__xludf.DUMMYFUNCTION("""COMPUTED_VALUE"""),"Conjure Animals")</f>
        <v>Conjure Animals</v>
      </c>
      <c r="C18" s="10" t="str">
        <f>IFERROR(__xludf.DUMMYFUNCTION("""COMPUTED_VALUE"""),"Know Alignment")</f>
        <v>Know Alignment</v>
      </c>
      <c r="D18" s="10" t="str">
        <f>IFERROR(__xludf.DUMMYFUNCTION("""COMPUTED_VALUE"""),"Doom")</f>
        <v>Doom</v>
      </c>
      <c r="E18" s="10" t="str">
        <f>IFERROR(__xludf.DUMMYFUNCTION("""COMPUTED_VALUE"""),"Death Fog")</f>
        <v>Death Fog</v>
      </c>
      <c r="F18" s="10" t="str">
        <f>IFERROR(__xludf.DUMMYFUNCTION("""COMPUTED_VALUE"""),"Emotion: Courage")</f>
        <v>Emotion: Courage</v>
      </c>
      <c r="G18" s="10" t="str">
        <f>IFERROR(__xludf.DUMMYFUNCTION("""COMPUTED_VALUE"""),"Cure Light Wounds")</f>
        <v>Cure Light Wounds</v>
      </c>
      <c r="H18" s="10" t="str">
        <f>IFERROR(__xludf.DUMMYFUNCTION("""COMPUTED_VALUE"""),"Nature's Beauty")</f>
        <v>Nature's Beauty</v>
      </c>
    </row>
    <row r="19">
      <c r="A19" s="10" t="str">
        <f>IFERROR(__xludf.DUMMYFUNCTION("""COMPUTED_VALUE"""),"Freedom")</f>
        <v>Freedom</v>
      </c>
      <c r="B19" s="10" t="str">
        <f>IFERROR(__xludf.DUMMYFUNCTION("""COMPUTED_VALUE"""),"Conjure Earth Elemental")</f>
        <v>Conjure Earth Elemental</v>
      </c>
      <c r="C19" s="10" t="str">
        <f>IFERROR(__xludf.DUMMYFUNCTION("""COMPUTED_VALUE"""),"Legend Lore")</f>
        <v>Legend Lore</v>
      </c>
      <c r="D19" s="10" t="str">
        <f>IFERROR(__xludf.DUMMYFUNCTION("""COMPUTED_VALUE"""),"Drown")</f>
        <v>Drown</v>
      </c>
      <c r="E19" s="10" t="str">
        <f>IFERROR(__xludf.DUMMYFUNCTION("""COMPUTED_VALUE"""),"Decastave")</f>
        <v>Decastave</v>
      </c>
      <c r="F19" s="10" t="str">
        <f>IFERROR(__xludf.DUMMYFUNCTION("""COMPUTED_VALUE"""),"Emotion: Hope")</f>
        <v>Emotion: Hope</v>
      </c>
      <c r="G19" s="10" t="str">
        <f>IFERROR(__xludf.DUMMYFUNCTION("""COMPUTED_VALUE"""),"Cure Medium Wounds")</f>
        <v>Cure Medium Wounds</v>
      </c>
      <c r="H19" s="10" t="str">
        <f>IFERROR(__xludf.DUMMYFUNCTION("""COMPUTED_VALUE"""),"Perfect Invisibility")</f>
        <v>Perfect Invisibility</v>
      </c>
    </row>
    <row r="20">
      <c r="A20" s="10" t="str">
        <f>IFERROR(__xludf.DUMMYFUNCTION("""COMPUTED_VALUE"""),"Globe of Invulnerability")</f>
        <v>Globe of Invulnerability</v>
      </c>
      <c r="B20" s="10" t="str">
        <f>IFERROR(__xludf.DUMMYFUNCTION("""COMPUTED_VALUE"""),"Conjure Fire Elemental")</f>
        <v>Conjure Fire Elemental</v>
      </c>
      <c r="C20" s="10" t="str">
        <f>IFERROR(__xludf.DUMMYFUNCTION("""COMPUTED_VALUE"""),"Oracle")</f>
        <v>Oracle</v>
      </c>
      <c r="D20" s="10" t="str">
        <f>IFERROR(__xludf.DUMMYFUNCTION("""COMPUTED_VALUE"""),"Earthquake")</f>
        <v>Earthquake</v>
      </c>
      <c r="E20" s="10" t="str">
        <f>IFERROR(__xludf.DUMMYFUNCTION("""COMPUTED_VALUE"""),"Delayed Blast Fireball")</f>
        <v>Delayed Blast Fireball</v>
      </c>
      <c r="F20" s="10" t="str">
        <f>IFERROR(__xludf.DUMMYFUNCTION("""COMPUTED_VALUE"""),"Emotion: Hopelessness")</f>
        <v>Emotion: Hopelessness</v>
      </c>
      <c r="G20" s="10" t="str">
        <f>IFERROR(__xludf.DUMMYFUNCTION("""COMPUTED_VALUE"""),"Cure Moderate Wounds")</f>
        <v>Cure Moderate Wounds</v>
      </c>
      <c r="H20" s="10" t="str">
        <f>IFERROR(__xludf.DUMMYFUNCTION("""COMPUTED_VALUE"""),"Phantasmal Dragon")</f>
        <v>Phantasmal Dragon</v>
      </c>
    </row>
    <row r="21">
      <c r="A21" s="10" t="str">
        <f>IFERROR(__xludf.DUMMYFUNCTION("""COMPUTED_VALUE"""),"Glyph of Spell Storing")</f>
        <v>Glyph of Spell Storing</v>
      </c>
      <c r="B21" s="10" t="str">
        <f>IFERROR(__xludf.DUMMYFUNCTION("""COMPUTED_VALUE"""),"Copy Spell")</f>
        <v>Copy Spell</v>
      </c>
      <c r="C21" s="10" t="str">
        <f>IFERROR(__xludf.DUMMYFUNCTION("""COMPUTED_VALUE"""),"True Sight")</f>
        <v>True Sight</v>
      </c>
      <c r="D21" s="10" t="str">
        <f>IFERROR(__xludf.DUMMYFUNCTION("""COMPUTED_VALUE"""),"Enhance Attribute")</f>
        <v>Enhance Attribute</v>
      </c>
      <c r="E21" s="10" t="str">
        <f>IFERROR(__xludf.DUMMYFUNCTION("""COMPUTED_VALUE"""),"Dragon's Breath")</f>
        <v>Dragon's Breath</v>
      </c>
      <c r="F21" s="10" t="str">
        <f>IFERROR(__xludf.DUMMYFUNCTION("""COMPUTED_VALUE"""),"Enchanted Weapon")</f>
        <v>Enchanted Weapon</v>
      </c>
      <c r="G21" s="10" t="str">
        <f>IFERROR(__xludf.DUMMYFUNCTION("""COMPUTED_VALUE"""),"Cure Serious Wounds")</f>
        <v>Cure Serious Wounds</v>
      </c>
      <c r="H21" s="10" t="str">
        <f>IFERROR(__xludf.DUMMYFUNCTION("""COMPUTED_VALUE"""),"Phantasmal Killer")</f>
        <v>Phantasmal Killer</v>
      </c>
    </row>
    <row r="22">
      <c r="A22" s="10" t="str">
        <f>IFERROR(__xludf.DUMMYFUNCTION("""COMPUTED_VALUE"""),"Glyph of Warding")</f>
        <v>Glyph of Warding</v>
      </c>
      <c r="B22" s="10" t="str">
        <f>IFERROR(__xludf.DUMMYFUNCTION("""COMPUTED_VALUE"""),"Create Pit")</f>
        <v>Create Pit</v>
      </c>
      <c r="D22" s="10" t="str">
        <f>IFERROR(__xludf.DUMMYFUNCTION("""COMPUTED_VALUE"""),"Enoll Eva's Duplication")</f>
        <v>Enoll Eva's Duplication</v>
      </c>
      <c r="E22" s="10" t="str">
        <f>IFERROR(__xludf.DUMMYFUNCTION("""COMPUTED_VALUE"""),"Draw Upon Holy Might")</f>
        <v>Draw Upon Holy Might</v>
      </c>
      <c r="F22" s="10" t="str">
        <f>IFERROR(__xludf.DUMMYFUNCTION("""COMPUTED_VALUE"""),"Enslave")</f>
        <v>Enslave</v>
      </c>
      <c r="G22" s="10" t="str">
        <f>IFERROR(__xludf.DUMMYFUNCTION("""COMPUTED_VALUE"""),"Darts of Bone")</f>
        <v>Darts of Bone</v>
      </c>
      <c r="H22" s="10" t="str">
        <f>IFERROR(__xludf.DUMMYFUNCTION("""COMPUTED_VALUE"""),"Pixie Dust")</f>
        <v>Pixie Dust</v>
      </c>
    </row>
    <row r="23">
      <c r="A23" s="10" t="str">
        <f>IFERROR(__xludf.DUMMYFUNCTION("""COMPUTED_VALUE"""),"Guardian Magic")</f>
        <v>Guardian Magic</v>
      </c>
      <c r="B23" s="10" t="str">
        <f>IFERROR(__xludf.DUMMYFUNCTION("""COMPUTED_VALUE"""),"Creeping Doom")</f>
        <v>Creeping Doom</v>
      </c>
      <c r="D23" s="10" t="str">
        <f>IFERROR(__xludf.DUMMYFUNCTION("""COMPUTED_VALUE"""),"Entangle")</f>
        <v>Entangle</v>
      </c>
      <c r="E23" s="10" t="str">
        <f>IFERROR(__xludf.DUMMYFUNCTION("""COMPUTED_VALUE"""),"Energy Blades")</f>
        <v>Energy Blades</v>
      </c>
      <c r="F23" s="10" t="str">
        <f>IFERROR(__xludf.DUMMYFUNCTION("""COMPUTED_VALUE"""),"Extraordinary Luck")</f>
        <v>Extraordinary Luck</v>
      </c>
      <c r="G23" s="10" t="str">
        <f>IFERROR(__xludf.DUMMYFUNCTION("""COMPUTED_VALUE"""),"Death Spell")</f>
        <v>Death Spell</v>
      </c>
      <c r="H23" s="10" t="str">
        <f>IFERROR(__xludf.DUMMYFUNCTION("""COMPUTED_VALUE"""),"Project Image")</f>
        <v>Project Image</v>
      </c>
    </row>
    <row r="24">
      <c r="A24" s="10" t="str">
        <f>IFERROR(__xludf.DUMMYFUNCTION("""COMPUTED_VALUE"""),"Heightening")</f>
        <v>Heightening</v>
      </c>
      <c r="B24" s="10" t="str">
        <f>IFERROR(__xludf.DUMMYFUNCTION("""COMPUTED_VALUE"""),"Curse")</f>
        <v>Curse</v>
      </c>
      <c r="D24" s="10" t="str">
        <f>IFERROR(__xludf.DUMMYFUNCTION("""COMPUTED_VALUE"""),"Ether Gate")</f>
        <v>Ether Gate</v>
      </c>
      <c r="E24" s="10" t="str">
        <f>IFERROR(__xludf.DUMMYFUNCTION("""COMPUTED_VALUE"""),"False Dawn")</f>
        <v>False Dawn</v>
      </c>
      <c r="F24" s="10" t="str">
        <f>IFERROR(__xludf.DUMMYFUNCTION("""COMPUTED_VALUE"""),"Feeblemind")</f>
        <v>Feeblemind</v>
      </c>
      <c r="G24" s="10" t="str">
        <f>IFERROR(__xludf.DUMMYFUNCTION("""COMPUTED_VALUE"""),"Death Trigger")</f>
        <v>Death Trigger</v>
      </c>
      <c r="H24" s="10" t="str">
        <f>IFERROR(__xludf.DUMMYFUNCTION("""COMPUTED_VALUE"""),"Reflected Image")</f>
        <v>Reflected Image</v>
      </c>
    </row>
    <row r="25">
      <c r="A25" s="10" t="str">
        <f>IFERROR(__xludf.DUMMYFUNCTION("""COMPUTED_VALUE"""),"Impervious Sanctity of Mind")</f>
        <v>Impervious Sanctity of Mind</v>
      </c>
      <c r="B25" s="10" t="str">
        <f>IFERROR(__xludf.DUMMYFUNCTION("""COMPUTED_VALUE"""),"Dimensional Chest")</f>
        <v>Dimensional Chest</v>
      </c>
      <c r="D25" s="10" t="str">
        <f>IFERROR(__xludf.DUMMYFUNCTION("""COMPUTED_VALUE"""),"Expeditious Retreat")</f>
        <v>Expeditious Retreat</v>
      </c>
      <c r="E25" s="10" t="str">
        <f>IFERROR(__xludf.DUMMYFUNCTION("""COMPUTED_VALUE"""),"Fiery Link")</f>
        <v>Fiery Link</v>
      </c>
      <c r="F25" s="10" t="str">
        <f>IFERROR(__xludf.DUMMYFUNCTION("""COMPUTED_VALUE"""),"Friends")</f>
        <v>Friends</v>
      </c>
      <c r="G25" s="10" t="str">
        <f>IFERROR(__xludf.DUMMYFUNCTION("""COMPUTED_VALUE"""),"Death Ward")</f>
        <v>Death Ward</v>
      </c>
      <c r="H25" s="10" t="str">
        <f>IFERROR(__xludf.DUMMYFUNCTION("""COMPUTED_VALUE"""),"Shades")</f>
        <v>Shades</v>
      </c>
    </row>
    <row r="26">
      <c r="A26" s="10" t="str">
        <f>IFERROR(__xludf.DUMMYFUNCTION("""COMPUTED_VALUE"""),"Imprisonment")</f>
        <v>Imprisonment</v>
      </c>
      <c r="B26" s="10" t="str">
        <f>IFERROR(__xludf.DUMMYFUNCTION("""COMPUTED_VALUE"""),"Elemental Summoning")</f>
        <v>Elemental Summoning</v>
      </c>
      <c r="D26" s="10" t="str">
        <f>IFERROR(__xludf.DUMMYFUNCTION("""COMPUTED_VALUE"""),"Fire Curse")</f>
        <v>Fire Curse</v>
      </c>
      <c r="E26" s="10" t="str">
        <f>IFERROR(__xludf.DUMMYFUNCTION("""COMPUTED_VALUE"""),"Fire Shield (Blue)")</f>
        <v>Fire Shield (Blue)</v>
      </c>
      <c r="F26" s="10" t="str">
        <f>IFERROR(__xludf.DUMMYFUNCTION("""COMPUTED_VALUE"""),"Greater Command")</f>
        <v>Greater Command</v>
      </c>
      <c r="G26" s="10" t="str">
        <f>IFERROR(__xludf.DUMMYFUNCTION("""COMPUTED_VALUE"""),"Destruction")</f>
        <v>Destruction</v>
      </c>
      <c r="H26" s="10" t="str">
        <f>IFERROR(__xludf.DUMMYFUNCTION("""COMPUTED_VALUE"""),"Shadow Door")</f>
        <v>Shadow Door</v>
      </c>
    </row>
    <row r="27">
      <c r="A27" s="10" t="str">
        <f>IFERROR(__xludf.DUMMYFUNCTION("""COMPUTED_VALUE"""),"Improved Alacrity")</f>
        <v>Improved Alacrity</v>
      </c>
      <c r="B27" s="10" t="str">
        <f>IFERROR(__xludf.DUMMYFUNCTION("""COMPUTED_VALUE"""),"Elysium's Tears")</f>
        <v>Elysium's Tears</v>
      </c>
      <c r="D27" s="10" t="str">
        <f>IFERROR(__xludf.DUMMYFUNCTION("""COMPUTED_VALUE"""),"Fire Earth Transformation")</f>
        <v>Fire Earth Transformation</v>
      </c>
      <c r="E27" s="10" t="str">
        <f>IFERROR(__xludf.DUMMYFUNCTION("""COMPUTED_VALUE"""),"Fire Shield (Red)")</f>
        <v>Fire Shield (Red)</v>
      </c>
      <c r="F27" s="10" t="str">
        <f>IFERROR(__xludf.DUMMYFUNCTION("""COMPUTED_VALUE"""),"Greater Malison")</f>
        <v>Greater Malison</v>
      </c>
      <c r="G27" s="10" t="str">
        <f>IFERROR(__xludf.DUMMYFUNCTION("""COMPUTED_VALUE"""),"Energy Drain")</f>
        <v>Energy Drain</v>
      </c>
      <c r="H27" s="10" t="str">
        <f>IFERROR(__xludf.DUMMYFUNCTION("""COMPUTED_VALUE"""),"Shadow Monsters")</f>
        <v>Shadow Monsters</v>
      </c>
    </row>
    <row r="28">
      <c r="A28" s="10" t="str">
        <f>IFERROR(__xludf.DUMMYFUNCTION("""COMPUTED_VALUE"""),"Improved Mantle")</f>
        <v>Improved Mantle</v>
      </c>
      <c r="B28" s="10" t="str">
        <f>IFERROR(__xludf.DUMMYFUNCTION("""COMPUTED_VALUE"""),"Empower Familiar")</f>
        <v>Empower Familiar</v>
      </c>
      <c r="D28" s="10" t="str">
        <f>IFERROR(__xludf.DUMMYFUNCTION("""COMPUTED_VALUE"""),"Fire Elemental Transformation")</f>
        <v>Fire Elemental Transformation</v>
      </c>
      <c r="E28" s="10" t="str">
        <f>IFERROR(__xludf.DUMMYFUNCTION("""COMPUTED_VALUE"""),"Fire Storm")</f>
        <v>Fire Storm</v>
      </c>
      <c r="F28" s="10" t="str">
        <f>IFERROR(__xludf.DUMMYFUNCTION("""COMPUTED_VALUE"""),"Greater Nightmare")</f>
        <v>Greater Nightmare</v>
      </c>
      <c r="G28" s="10" t="str">
        <f>IFERROR(__xludf.DUMMYFUNCTION("""COMPUTED_VALUE"""),"False Life")</f>
        <v>False Life</v>
      </c>
      <c r="H28" s="10" t="str">
        <f>IFERROR(__xludf.DUMMYFUNCTION("""COMPUTED_VALUE"""),"Simulacrum")</f>
        <v>Simulacrum</v>
      </c>
    </row>
    <row r="29">
      <c r="A29" s="10" t="str">
        <f>IFERROR(__xludf.DUMMYFUNCTION("""COMPUTED_VALUE"""),"Khelben's Warding Whip")</f>
        <v>Khelben's Warding Whip</v>
      </c>
      <c r="B29" s="10" t="str">
        <f>IFERROR(__xludf.DUMMYFUNCTION("""COMPUTED_VALUE"""),"Ethereal Retribution")</f>
        <v>Ethereal Retribution</v>
      </c>
      <c r="D29" s="10" t="str">
        <f>IFERROR(__xludf.DUMMYFUNCTION("""COMPUTED_VALUE"""),"Flesh to Stone")</f>
        <v>Flesh to Stone</v>
      </c>
      <c r="E29" s="10" t="str">
        <f>IFERROR(__xludf.DUMMYFUNCTION("""COMPUTED_VALUE"""),"Fireball")</f>
        <v>Fireball</v>
      </c>
      <c r="F29" s="10" t="str">
        <f>IFERROR(__xludf.DUMMYFUNCTION("""COMPUTED_VALUE"""),"Hex")</f>
        <v>Hex</v>
      </c>
      <c r="G29" s="10" t="str">
        <f>IFERROR(__xludf.DUMMYFUNCTION("""COMPUTED_VALUE"""),"Favor of Illmater")</f>
        <v>Favor of Illmater</v>
      </c>
      <c r="H29" s="10" t="str">
        <f>IFERROR(__xludf.DUMMYFUNCTION("""COMPUTED_VALUE"""),"Spook")</f>
        <v>Spook</v>
      </c>
    </row>
    <row r="30">
      <c r="A30" s="10" t="str">
        <f>IFERROR(__xludf.DUMMYFUNCTION("""COMPUTED_VALUE"""),"Mantle")</f>
        <v>Mantle</v>
      </c>
      <c r="B30" s="10" t="str">
        <f>IFERROR(__xludf.DUMMYFUNCTION("""COMPUTED_VALUE"""),"Familiar Spell")</f>
        <v>Familiar Spell</v>
      </c>
      <c r="D30" s="10" t="str">
        <f>IFERROR(__xludf.DUMMYFUNCTION("""COMPUTED_VALUE"""),"Fly")</f>
        <v>Fly</v>
      </c>
      <c r="E30" s="10" t="str">
        <f>IFERROR(__xludf.DUMMYFUNCTION("""COMPUTED_VALUE"""),"Flame Blade")</f>
        <v>Flame Blade</v>
      </c>
      <c r="F30" s="10" t="str">
        <f>IFERROR(__xludf.DUMMYFUNCTION("""COMPUTED_VALUE"""),"Hold Animal")</f>
        <v>Hold Animal</v>
      </c>
      <c r="G30" s="10" t="str">
        <f>IFERROR(__xludf.DUMMYFUNCTION("""COMPUTED_VALUE"""),"Favored of the Spirits")</f>
        <v>Favored of the Spirits</v>
      </c>
      <c r="H30" s="10" t="str">
        <f>IFERROR(__xludf.DUMMYFUNCTION("""COMPUTED_VALUE"""),"Warrior Simulacrum")</f>
        <v>Warrior Simulacrum</v>
      </c>
    </row>
    <row r="31">
      <c r="A31" s="10" t="str">
        <f>IFERROR(__xludf.DUMMYFUNCTION("""COMPUTED_VALUE"""),"Mind Blank")</f>
        <v>Mind Blank</v>
      </c>
      <c r="B31" s="10" t="str">
        <f>IFERROR(__xludf.DUMMYFUNCTION("""COMPUTED_VALUE"""),"Find Familiar")</f>
        <v>Find Familiar</v>
      </c>
      <c r="D31" s="10" t="str">
        <f>IFERROR(__xludf.DUMMYFUNCTION("""COMPUTED_VALUE"""),"Freeze Inanimates")</f>
        <v>Freeze Inanimates</v>
      </c>
      <c r="E31" s="10" t="str">
        <f>IFERROR(__xludf.DUMMYFUNCTION("""COMPUTED_VALUE"""),"Freezing Wave")</f>
        <v>Freezing Wave</v>
      </c>
      <c r="F31" s="10" t="str">
        <f>IFERROR(__xludf.DUMMYFUNCTION("""COMPUTED_VALUE"""),"Hold Monster")</f>
        <v>Hold Monster</v>
      </c>
      <c r="G31" s="10" t="str">
        <f>IFERROR(__xludf.DUMMYFUNCTION("""COMPUTED_VALUE"""),"Finger of Death")</f>
        <v>Finger of Death</v>
      </c>
      <c r="H31" s="10" t="str">
        <f>IFERROR(__xludf.DUMMYFUNCTION("""COMPUTED_VALUE"""),"Wraith Form")</f>
        <v>Wraith Form</v>
      </c>
    </row>
    <row r="32">
      <c r="A32" s="10" t="str">
        <f>IFERROR(__xludf.DUMMYFUNCTION("""COMPUTED_VALUE"""),"Minor Globe of Invulnerability")</f>
        <v>Minor Globe of Invulnerability</v>
      </c>
      <c r="B32" s="10" t="str">
        <f>IFERROR(__xludf.DUMMYFUNCTION("""COMPUTED_VALUE"""),"Fire Seeds")</f>
        <v>Fire Seeds</v>
      </c>
      <c r="D32" s="10" t="str">
        <f>IFERROR(__xludf.DUMMYFUNCTION("""COMPUTED_VALUE"""),"Ghostform")</f>
        <v>Ghostform</v>
      </c>
      <c r="E32" s="10" t="str">
        <f>IFERROR(__xludf.DUMMYFUNCTION("""COMPUTED_VALUE"""),"Gedlee's Electric Barrier")</f>
        <v>Gedlee's Electric Barrier</v>
      </c>
      <c r="F32" s="10" t="str">
        <f>IFERROR(__xludf.DUMMYFUNCTION("""COMPUTED_VALUE"""),"Hold Person")</f>
        <v>Hold Person</v>
      </c>
      <c r="G32" s="10" t="str">
        <f>IFERROR(__xludf.DUMMYFUNCTION("""COMPUTED_VALUE"""),"Ghoul Touch")</f>
        <v>Ghoul Touch</v>
      </c>
    </row>
    <row r="33">
      <c r="A33" s="10" t="str">
        <f>IFERROR(__xludf.DUMMYFUNCTION("""COMPUTED_VALUE"""),"Minor Spell Deflection")</f>
        <v>Minor Spell Deflection</v>
      </c>
      <c r="B33" s="10" t="str">
        <f>IFERROR(__xludf.DUMMYFUNCTION("""COMPUTED_VALUE"""),"Flame Arrow")</f>
        <v>Flame Arrow</v>
      </c>
      <c r="D33" s="10" t="str">
        <f>IFERROR(__xludf.DUMMYFUNCTION("""COMPUTED_VALUE"""),"Ghostwalk")</f>
        <v>Ghostwalk</v>
      </c>
      <c r="E33" s="10" t="str">
        <f>IFERROR(__xludf.DUMMYFUNCTION("""COMPUTED_VALUE"""),"Globe of Blades")</f>
        <v>Globe of Blades</v>
      </c>
      <c r="F33" s="10" t="str">
        <f>IFERROR(__xludf.DUMMYFUNCTION("""COMPUTED_VALUE"""),"Intoxicate")</f>
        <v>Intoxicate</v>
      </c>
      <c r="G33" s="10" t="str">
        <f>IFERROR(__xludf.DUMMYFUNCTION("""COMPUTED_VALUE"""),"Ghoulish Feast")</f>
        <v>Ghoulish Feast</v>
      </c>
    </row>
    <row r="34">
      <c r="A34" s="10" t="str">
        <f>IFERROR(__xludf.DUMMYFUNCTION("""COMPUTED_VALUE"""),"Minor Spell Turning")</f>
        <v>Minor Spell Turning</v>
      </c>
      <c r="B34" s="10" t="str">
        <f>IFERROR(__xludf.DUMMYFUNCTION("""COMPUTED_VALUE"""),"Forest's Blessing")</f>
        <v>Forest's Blessing</v>
      </c>
      <c r="D34" s="10" t="str">
        <f>IFERROR(__xludf.DUMMYFUNCTION("""COMPUTED_VALUE"""),"Giant Insect")</f>
        <v>Giant Insect</v>
      </c>
      <c r="E34" s="10" t="str">
        <f>IFERROR(__xludf.DUMMYFUNCTION("""COMPUTED_VALUE"""),"Goodberry")</f>
        <v>Goodberry</v>
      </c>
      <c r="F34" s="10" t="str">
        <f>IFERROR(__xludf.DUMMYFUNCTION("""COMPUTED_VALUE"""),"Luck")</f>
        <v>Luck</v>
      </c>
      <c r="G34" s="10" t="str">
        <f>IFERROR(__xludf.DUMMYFUNCTION("""COMPUTED_VALUE"""),"Greater Restoration")</f>
        <v>Greater Restoration</v>
      </c>
    </row>
    <row r="35">
      <c r="A35" s="10" t="str">
        <f>IFERROR(__xludf.DUMMYFUNCTION("""COMPUTED_VALUE"""),"Negative Plane Protection")</f>
        <v>Negative Plane Protection</v>
      </c>
      <c r="B35" s="10" t="str">
        <f>IFERROR(__xludf.DUMMYFUNCTION("""COMPUTED_VALUE"""),"Gate")</f>
        <v>Gate</v>
      </c>
      <c r="D35" s="10" t="str">
        <f>IFERROR(__xludf.DUMMYFUNCTION("""COMPUTED_VALUE"""),"Greater Steel Wind Strike")</f>
        <v>Greater Steel Wind Strike</v>
      </c>
      <c r="E35" s="10" t="str">
        <f>IFERROR(__xludf.DUMMYFUNCTION("""COMPUTED_VALUE"""),"Great Shout")</f>
        <v>Great Shout</v>
      </c>
      <c r="F35" s="10" t="str">
        <f>IFERROR(__xludf.DUMMYFUNCTION("""COMPUTED_VALUE"""),"Magic Stone")</f>
        <v>Magic Stone</v>
      </c>
      <c r="G35" s="10" t="str">
        <f>IFERROR(__xludf.DUMMYFUNCTION("""COMPUTED_VALUE"""),"Harm")</f>
        <v>Harm</v>
      </c>
    </row>
    <row r="36">
      <c r="A36" s="10" t="str">
        <f>IFERROR(__xludf.DUMMYFUNCTION("""COMPUTED_VALUE"""),"Non-Detection")</f>
        <v>Non-Detection</v>
      </c>
      <c r="B36" s="10" t="str">
        <f>IFERROR(__xludf.DUMMYFUNCTION("""COMPUTED_VALUE"""),"Ghost Armor")</f>
        <v>Ghost Armor</v>
      </c>
      <c r="D36" s="10" t="str">
        <f>IFERROR(__xludf.DUMMYFUNCTION("""COMPUTED_VALUE"""),"Haste")</f>
        <v>Haste</v>
      </c>
      <c r="E36" s="10" t="str">
        <f>IFERROR(__xludf.DUMMYFUNCTION("""COMPUTED_VALUE"""),"Greater Living Lightning")</f>
        <v>Greater Living Lightning</v>
      </c>
      <c r="F36" s="10" t="str">
        <f>IFERROR(__xludf.DUMMYFUNCTION("""COMPUTED_VALUE"""),"Mass Charm")</f>
        <v>Mass Charm</v>
      </c>
      <c r="G36" s="10" t="str">
        <f>IFERROR(__xludf.DUMMYFUNCTION("""COMPUTED_VALUE"""),"Heal")</f>
        <v>Heal</v>
      </c>
    </row>
    <row r="37">
      <c r="A37" s="10" t="str">
        <f>IFERROR(__xludf.DUMMYFUNCTION("""COMPUTED_VALUE"""),"Pierce Magic")</f>
        <v>Pierce Magic</v>
      </c>
      <c r="B37" s="10" t="str">
        <f>IFERROR(__xludf.DUMMYFUNCTION("""COMPUTED_VALUE"""),"Glitterdust")</f>
        <v>Glitterdust</v>
      </c>
      <c r="D37" s="10" t="str">
        <f>IFERROR(__xludf.DUMMYFUNCTION("""COMPUTED_VALUE"""),"Healing Curse")</f>
        <v>Healing Curse</v>
      </c>
      <c r="E37" s="10" t="str">
        <f>IFERROR(__xludf.DUMMYFUNCTION("""COMPUTED_VALUE"""),"Heavenly Inferno")</f>
        <v>Heavenly Inferno</v>
      </c>
      <c r="F37" s="10" t="str">
        <f>IFERROR(__xludf.DUMMYFUNCTION("""COMPUTED_VALUE"""),"Mass Domination")</f>
        <v>Mass Domination</v>
      </c>
      <c r="G37" s="10" t="str">
        <f>IFERROR(__xludf.DUMMYFUNCTION("""COMPUTED_VALUE"""),"Hold Undead")</f>
        <v>Hold Undead</v>
      </c>
    </row>
    <row r="38">
      <c r="A38" s="10" t="str">
        <f>IFERROR(__xludf.DUMMYFUNCTION("""COMPUTED_VALUE"""),"Pierce Shield")</f>
        <v>Pierce Shield</v>
      </c>
      <c r="B38" s="10" t="str">
        <f>IFERROR(__xludf.DUMMYFUNCTION("""COMPUTED_VALUE"""),"Grease")</f>
        <v>Grease</v>
      </c>
      <c r="D38" s="10" t="str">
        <f>IFERROR(__xludf.DUMMYFUNCTION("""COMPUTED_VALUE"""),"Implosion")</f>
        <v>Implosion</v>
      </c>
      <c r="E38" s="10" t="str">
        <f>IFERROR(__xludf.DUMMYFUNCTION("""COMPUTED_VALUE"""),"Holy Power")</f>
        <v>Holy Power</v>
      </c>
      <c r="F38" s="10" t="str">
        <f>IFERROR(__xludf.DUMMYFUNCTION("""COMPUTED_VALUE"""),"Mental Agility")</f>
        <v>Mental Agility</v>
      </c>
      <c r="G38" s="10" t="str">
        <f>IFERROR(__xludf.DUMMYFUNCTION("""COMPUTED_VALUE"""),"Holy Smite")</f>
        <v>Holy Smite</v>
      </c>
    </row>
    <row r="39">
      <c r="A39" s="10" t="str">
        <f>IFERROR(__xludf.DUMMYFUNCTION("""COMPUTED_VALUE"""),"Power Word: Push")</f>
        <v>Power Word: Push</v>
      </c>
      <c r="B39" s="10" t="str">
        <f>IFERROR(__xludf.DUMMYFUNCTION("""COMPUTED_VALUE"""),"Greater Elemental Summoning")</f>
        <v>Greater Elemental Summoning</v>
      </c>
      <c r="D39" s="10" t="str">
        <f>IFERROR(__xludf.DUMMYFUNCTION("""COMPUTED_VALUE"""),"Improved Haste")</f>
        <v>Improved Haste</v>
      </c>
      <c r="E39" s="10" t="str">
        <f>IFERROR(__xludf.DUMMYFUNCTION("""COMPUTED_VALUE"""),"Ice Storm")</f>
        <v>Ice Storm</v>
      </c>
      <c r="F39" s="10" t="str">
        <f>IFERROR(__xludf.DUMMYFUNCTION("""COMPUTED_VALUE"""),"Mental Domination")</f>
        <v>Mental Domination</v>
      </c>
      <c r="G39" s="10" t="str">
        <f>IFERROR(__xludf.DUMMYFUNCTION("""COMPUTED_VALUE"""),"Horror")</f>
        <v>Horror</v>
      </c>
    </row>
    <row r="40">
      <c r="A40" s="10" t="str">
        <f>IFERROR(__xludf.DUMMYFUNCTION("""COMPUTED_VALUE"""),"Protection from Acid")</f>
        <v>Protection from Acid</v>
      </c>
      <c r="B40" s="10" t="str">
        <f>IFERROR(__xludf.DUMMYFUNCTION("""COMPUTED_VALUE"""),"Greater Shield of Lathander")</f>
        <v>Greater Shield of Lathander</v>
      </c>
      <c r="D40" s="10" t="str">
        <f>IFERROR(__xludf.DUMMYFUNCTION("""COMPUTED_VALUE"""),"Inertia")</f>
        <v>Inertia</v>
      </c>
      <c r="E40" s="10" t="str">
        <f>IFERROR(__xludf.DUMMYFUNCTION("""COMPUTED_VALUE"""),"Icelance")</f>
        <v>Icelance</v>
      </c>
      <c r="F40" s="10" t="str">
        <f>IFERROR(__xludf.DUMMYFUNCTION("""COMPUTED_VALUE"""),"Mind Fog")</f>
        <v>Mind Fog</v>
      </c>
      <c r="G40" s="10" t="str">
        <f>IFERROR(__xludf.DUMMYFUNCTION("""COMPUTED_VALUE"""),"Larloch's Minor Drain")</f>
        <v>Larloch's Minor Drain</v>
      </c>
    </row>
    <row r="41">
      <c r="A41" s="10" t="str">
        <f>IFERROR(__xludf.DUMMYFUNCTION("""COMPUTED_VALUE"""),"Protection from Cold")</f>
        <v>Protection from Cold</v>
      </c>
      <c r="B41" s="10" t="str">
        <f>IFERROR(__xludf.DUMMYFUNCTION("""COMPUTED_VALUE"""),"Holy Word")</f>
        <v>Holy Word</v>
      </c>
      <c r="D41" s="10" t="str">
        <f>IFERROR(__xludf.DUMMYFUNCTION("""COMPUTED_VALUE"""),"Iron Body")</f>
        <v>Iron Body</v>
      </c>
      <c r="E41" s="10" t="str">
        <f>IFERROR(__xludf.DUMMYFUNCTION("""COMPUTED_VALUE"""),"Incendiary Cloud")</f>
        <v>Incendiary Cloud</v>
      </c>
      <c r="F41" s="10" t="str">
        <f>IFERROR(__xludf.DUMMYFUNCTION("""COMPUTED_VALUE"""),"Miscast Magic")</f>
        <v>Miscast Magic</v>
      </c>
      <c r="G41" s="10" t="str">
        <f>IFERROR(__xludf.DUMMYFUNCTION("""COMPUTED_VALUE"""),"Lesser Restoration")</f>
        <v>Lesser Restoration</v>
      </c>
    </row>
    <row r="42">
      <c r="A42" s="10" t="str">
        <f>IFERROR(__xludf.DUMMYFUNCTION("""COMPUTED_VALUE"""),"Protection from Electricity")</f>
        <v>Protection from Electricity</v>
      </c>
      <c r="B42" s="10" t="str">
        <f>IFERROR(__xludf.DUMMYFUNCTION("""COMPUTED_VALUE"""),"Insect Plague")</f>
        <v>Insect Plague</v>
      </c>
      <c r="D42" s="10" t="str">
        <f>IFERROR(__xludf.DUMMYFUNCTION("""COMPUTED_VALUE"""),"Jump")</f>
        <v>Jump</v>
      </c>
      <c r="E42" s="10" t="str">
        <f>IFERROR(__xludf.DUMMYFUNCTION("""COMPUTED_VALUE"""),"Isaac's Greater Missile Storm")</f>
        <v>Isaac's Greater Missile Storm</v>
      </c>
      <c r="F42" s="10" t="str">
        <f>IFERROR(__xludf.DUMMYFUNCTION("""COMPUTED_VALUE"""),"Otto's Irresistible Spin")</f>
        <v>Otto's Irresistible Spin</v>
      </c>
      <c r="G42" s="10" t="str">
        <f>IFERROR(__xludf.DUMMYFUNCTION("""COMPUTED_VALUE"""),"Lich Touch")</f>
        <v>Lich Touch</v>
      </c>
    </row>
    <row r="43">
      <c r="A43" s="10" t="str">
        <f>IFERROR(__xludf.DUMMYFUNCTION("""COMPUTED_VALUE"""),"Protection from Energy")</f>
        <v>Protection from Energy</v>
      </c>
      <c r="B43" s="10" t="str">
        <f>IFERROR(__xludf.DUMMYFUNCTION("""COMPUTED_VALUE"""),"Invisible Stalker")</f>
        <v>Invisible Stalker</v>
      </c>
      <c r="D43" s="10" t="str">
        <f>IFERROR(__xludf.DUMMYFUNCTION("""COMPUTED_VALUE"""),"Knock")</f>
        <v>Knock</v>
      </c>
      <c r="E43" s="10" t="str">
        <f>IFERROR(__xludf.DUMMYFUNCTION("""COMPUTED_VALUE"""),"Lance of Disruption")</f>
        <v>Lance of Disruption</v>
      </c>
      <c r="F43" s="10" t="str">
        <f>IFERROR(__xludf.DUMMYFUNCTION("""COMPUTED_VALUE"""),"Ray of Enfeeblement")</f>
        <v>Ray of Enfeeblement</v>
      </c>
      <c r="G43" s="10" t="str">
        <f>IFERROR(__xludf.DUMMYFUNCTION("""COMPUTED_VALUE"""),"Life Transfer")</f>
        <v>Life Transfer</v>
      </c>
    </row>
    <row r="44">
      <c r="A44" s="10" t="str">
        <f>IFERROR(__xludf.DUMMYFUNCTION("""COMPUTED_VALUE"""),"Protection from Evil")</f>
        <v>Protection from Evil</v>
      </c>
      <c r="B44" s="10" t="str">
        <f>IFERROR(__xludf.DUMMYFUNCTION("""COMPUTED_VALUE"""),"Limited Wish")</f>
        <v>Limited Wish</v>
      </c>
      <c r="D44" s="10" t="str">
        <f>IFERROR(__xludf.DUMMYFUNCTION("""COMPUTED_VALUE"""),"Levitate")</f>
        <v>Levitate</v>
      </c>
      <c r="E44" s="10" t="str">
        <f>IFERROR(__xludf.DUMMYFUNCTION("""COMPUTED_VALUE"""),"Lightning Stream")</f>
        <v>Lightning Stream</v>
      </c>
      <c r="F44" s="10" t="str">
        <f>IFERROR(__xludf.DUMMYFUNCTION("""COMPUTED_VALUE"""),"Righteous Wrath of the Faithful")</f>
        <v>Righteous Wrath of the Faithful</v>
      </c>
      <c r="G44" s="10" t="str">
        <f>IFERROR(__xludf.DUMMYFUNCTION("""COMPUTED_VALUE"""),"Linked Spirit")</f>
        <v>Linked Spirit</v>
      </c>
    </row>
    <row r="45">
      <c r="A45" s="10" t="str">
        <f>IFERROR(__xludf.DUMMYFUNCTION("""COMPUTED_VALUE"""),"Protection from Evil 10' Radius")</f>
        <v>Protection from Evil 10' Radius</v>
      </c>
      <c r="B45" s="10" t="str">
        <f>IFERROR(__xludf.DUMMYFUNCTION("""COMPUTED_VALUE"""),"Linked Portals")</f>
        <v>Linked Portals</v>
      </c>
      <c r="D45" s="10" t="str">
        <f>IFERROR(__xludf.DUMMYFUNCTION("""COMPUTED_VALUE"""),"Lower Resistance")</f>
        <v>Lower Resistance</v>
      </c>
      <c r="E45" s="10" t="str">
        <f>IFERROR(__xludf.DUMMYFUNCTION("""COMPUTED_VALUE"""),"Living Lightning")</f>
        <v>Living Lightning</v>
      </c>
      <c r="F45" s="10" t="str">
        <f>IFERROR(__xludf.DUMMYFUNCTION("""COMPUTED_VALUE"""),"Rigid Thinking")</f>
        <v>Rigid Thinking</v>
      </c>
      <c r="G45" s="10" t="str">
        <f>IFERROR(__xludf.DUMMYFUNCTION("""COMPUTED_VALUE"""),"Mass Cause Light Wounds")</f>
        <v>Mass Cause Light Wounds</v>
      </c>
    </row>
    <row r="46">
      <c r="A46" s="10" t="str">
        <f>IFERROR(__xludf.DUMMYFUNCTION("""COMPUTED_VALUE"""),"Protection from Fire")</f>
        <v>Protection from Fire</v>
      </c>
      <c r="B46" s="10" t="str">
        <f>IFERROR(__xludf.DUMMYFUNCTION("""COMPUTED_VALUE"""),"Maze")</f>
        <v>Maze</v>
      </c>
      <c r="D46" s="10" t="str">
        <f>IFERROR(__xludf.DUMMYFUNCTION("""COMPUTED_VALUE"""),"Magic Resistance")</f>
        <v>Magic Resistance</v>
      </c>
      <c r="E46" s="10" t="str">
        <f>IFERROR(__xludf.DUMMYFUNCTION("""COMPUTED_VALUE"""),"Malavon's Corrosive Fog")</f>
        <v>Malavon's Corrosive Fog</v>
      </c>
      <c r="F46" s="10" t="str">
        <f>IFERROR(__xludf.DUMMYFUNCTION("""COMPUTED_VALUE"""),"Spiritual Lock")</f>
        <v>Spiritual Lock</v>
      </c>
      <c r="G46" s="10" t="str">
        <f>IFERROR(__xludf.DUMMYFUNCTION("""COMPUTED_VALUE"""),"Mass Cure Light Wounds")</f>
        <v>Mass Cure Light Wounds</v>
      </c>
    </row>
    <row r="47">
      <c r="A47" s="10" t="str">
        <f>IFERROR(__xludf.DUMMYFUNCTION("""COMPUTED_VALUE"""),"Protection from Magical Energy")</f>
        <v>Protection from Magical Energy</v>
      </c>
      <c r="B47" s="10" t="str">
        <f>IFERROR(__xludf.DUMMYFUNCTION("""COMPUTED_VALUE"""),"Melf's Acid Arrow")</f>
        <v>Melf's Acid Arrow</v>
      </c>
      <c r="D47" s="10" t="str">
        <f>IFERROR(__xludf.DUMMYFUNCTION("""COMPUTED_VALUE"""),"Mold Touch")</f>
        <v>Mold Touch</v>
      </c>
      <c r="E47" s="10" t="str">
        <f>IFERROR(__xludf.DUMMYFUNCTION("""COMPUTED_VALUE"""),"Malavon's Rage")</f>
        <v>Malavon's Rage</v>
      </c>
      <c r="F47" s="10" t="str">
        <f>IFERROR(__xludf.DUMMYFUNCTION("""COMPUTED_VALUE"""),"Taunt")</f>
        <v>Taunt</v>
      </c>
      <c r="G47" s="10" t="str">
        <f>IFERROR(__xludf.DUMMYFUNCTION("""COMPUTED_VALUE"""),"Mass Heal")</f>
        <v>Mass Heal</v>
      </c>
    </row>
    <row r="48">
      <c r="A48" s="10" t="str">
        <f>IFERROR(__xludf.DUMMYFUNCTION("""COMPUTED_VALUE"""),"Protection from Magical Weapons")</f>
        <v>Protection from Magical Weapons</v>
      </c>
      <c r="B48" s="10" t="str">
        <f>IFERROR(__xludf.DUMMYFUNCTION("""COMPUTED_VALUE"""),"Mestil's Acid Breath")</f>
        <v>Mestil's Acid Breath</v>
      </c>
      <c r="D48" s="10" t="str">
        <f>IFERROR(__xludf.DUMMYFUNCTION("""COMPUTED_VALUE"""),"Omnipresence")</f>
        <v>Omnipresence</v>
      </c>
      <c r="E48" s="10" t="str">
        <f>IFERROR(__xludf.DUMMYFUNCTION("""COMPUTED_VALUE"""),"Mass Sequencer")</f>
        <v>Mass Sequencer</v>
      </c>
      <c r="F48" s="10" t="str">
        <f>IFERROR(__xludf.DUMMYFUNCTION("""COMPUTED_VALUE"""),"Turning Weapon")</f>
        <v>Turning Weapon</v>
      </c>
      <c r="G48" s="10" t="str">
        <f>IFERROR(__xludf.DUMMYFUNCTION("""COMPUTED_VALUE"""),"Mass Raise Dead")</f>
        <v>Mass Raise Dead</v>
      </c>
    </row>
    <row r="49">
      <c r="A49" s="10" t="str">
        <f>IFERROR(__xludf.DUMMYFUNCTION("""COMPUTED_VALUE"""),"Protection From Non-Silver Weapons")</f>
        <v>Protection From Non-Silver Weapons</v>
      </c>
      <c r="B49" s="10" t="str">
        <f>IFERROR(__xludf.DUMMYFUNCTION("""COMPUTED_VALUE"""),"Monster Summoning 1")</f>
        <v>Monster Summoning 1</v>
      </c>
      <c r="D49" s="10" t="str">
        <f>IFERROR(__xludf.DUMMYFUNCTION("""COMPUTED_VALUE"""),"Otiluke's Resilient Sphere")</f>
        <v>Otiluke's Resilient Sphere</v>
      </c>
      <c r="E49" s="10" t="str">
        <f>IFERROR(__xludf.DUMMYFUNCTION("""COMPUTED_VALUE"""),"Melf's Minute Meteors")</f>
        <v>Melf's Minute Meteors</v>
      </c>
      <c r="G49" s="10" t="str">
        <f>IFERROR(__xludf.DUMMYFUNCTION("""COMPUTED_VALUE"""),"Necropotence")</f>
        <v>Necropotence</v>
      </c>
    </row>
    <row r="50">
      <c r="A50" s="10" t="str">
        <f>IFERROR(__xludf.DUMMYFUNCTION("""COMPUTED_VALUE"""),"Protection from Normal Missiles")</f>
        <v>Protection from Normal Missiles</v>
      </c>
      <c r="B50" s="10" t="str">
        <f>IFERROR(__xludf.DUMMYFUNCTION("""COMPUTED_VALUE"""),"Monster Summoning 2")</f>
        <v>Monster Summoning 2</v>
      </c>
      <c r="D50" s="10" t="str">
        <f>IFERROR(__xludf.DUMMYFUNCTION("""COMPUTED_VALUE"""),"Pebbles to Boulders")</f>
        <v>Pebbles to Boulders</v>
      </c>
      <c r="E50" s="10" t="str">
        <f>IFERROR(__xludf.DUMMYFUNCTION("""COMPUTED_VALUE"""),"Metafireball")</f>
        <v>Metafireball</v>
      </c>
      <c r="G50" s="10" t="str">
        <f>IFERROR(__xludf.DUMMYFUNCTION("""COMPUTED_VALUE"""),"Neutralize Poison")</f>
        <v>Neutralize Poison</v>
      </c>
    </row>
    <row r="51">
      <c r="A51" s="10" t="str">
        <f>IFERROR(__xludf.DUMMYFUNCTION("""COMPUTED_VALUE"""),"Protection from Normal Weapons")</f>
        <v>Protection from Normal Weapons</v>
      </c>
      <c r="B51" s="10" t="str">
        <f>IFERROR(__xludf.DUMMYFUNCTION("""COMPUTED_VALUE"""),"Monster Summoning 3")</f>
        <v>Monster Summoning 3</v>
      </c>
      <c r="D51" s="10" t="str">
        <f>IFERROR(__xludf.DUMMYFUNCTION("""COMPUTED_VALUE"""),"Physical Mirror")</f>
        <v>Physical Mirror</v>
      </c>
      <c r="E51" s="10" t="str">
        <f>IFERROR(__xludf.DUMMYFUNCTION("""COMPUTED_VALUE"""),"Meteor Swarm")</f>
        <v>Meteor Swarm</v>
      </c>
      <c r="G51" s="10" t="str">
        <f>IFERROR(__xludf.DUMMYFUNCTION("""COMPUTED_VALUE"""),"Null Healing")</f>
        <v>Null Healing</v>
      </c>
    </row>
    <row r="52">
      <c r="A52" s="10" t="str">
        <f>IFERROR(__xludf.DUMMYFUNCTION("""COMPUTED_VALUE"""),"Protection from Petrification")</f>
        <v>Protection from Petrification</v>
      </c>
      <c r="B52" s="10" t="str">
        <f>IFERROR(__xludf.DUMMYFUNCTION("""COMPUTED_VALUE"""),"Monster Summoning 4")</f>
        <v>Monster Summoning 4</v>
      </c>
      <c r="D52" s="10" t="str">
        <f>IFERROR(__xludf.DUMMYFUNCTION("""COMPUTED_VALUE"""),"Piercing Shots")</f>
        <v>Piercing Shots</v>
      </c>
      <c r="E52" s="10" t="str">
        <f>IFERROR(__xludf.DUMMYFUNCTION("""COMPUTED_VALUE"""),"Minor Sequencer")</f>
        <v>Minor Sequencer</v>
      </c>
      <c r="G52" s="10" t="str">
        <f>IFERROR(__xludf.DUMMYFUNCTION("""COMPUTED_VALUE"""),"Poison")</f>
        <v>Poison</v>
      </c>
    </row>
    <row r="53">
      <c r="A53" s="10" t="str">
        <f>IFERROR(__xludf.DUMMYFUNCTION("""COMPUTED_VALUE"""),"Protection From The Elements")</f>
        <v>Protection From The Elements</v>
      </c>
      <c r="B53" s="10" t="str">
        <f>IFERROR(__xludf.DUMMYFUNCTION("""COMPUTED_VALUE"""),"Monster Summoning 5")</f>
        <v>Monster Summoning 5</v>
      </c>
      <c r="D53" s="10" t="str">
        <f>IFERROR(__xludf.DUMMYFUNCTION("""COMPUTED_VALUE"""),"Polymorph Self")</f>
        <v>Polymorph Self</v>
      </c>
      <c r="E53" s="10" t="str">
        <f>IFERROR(__xludf.DUMMYFUNCTION("""COMPUTED_VALUE"""),"Missile of Patience")</f>
        <v>Missile of Patience</v>
      </c>
      <c r="G53" s="10" t="str">
        <f>IFERROR(__xludf.DUMMYFUNCTION("""COMPUTED_VALUE"""),"Power Word, Heal")</f>
        <v>Power Word, Heal</v>
      </c>
    </row>
    <row r="54">
      <c r="A54" s="10" t="str">
        <f>IFERROR(__xludf.DUMMYFUNCTION("""COMPUTED_VALUE"""),"Protection from Time Stop")</f>
        <v>Protection from Time Stop</v>
      </c>
      <c r="B54" s="10" t="str">
        <f>IFERROR(__xludf.DUMMYFUNCTION("""COMPUTED_VALUE"""),"Monster Summoning 6")</f>
        <v>Monster Summoning 6</v>
      </c>
      <c r="D54" s="10" t="str">
        <f>IFERROR(__xludf.DUMMYFUNCTION("""COMPUTED_VALUE"""),"Produce Fire")</f>
        <v>Produce Fire</v>
      </c>
      <c r="E54" s="10" t="str">
        <f>IFERROR(__xludf.DUMMYFUNCTION("""COMPUTED_VALUE"""),"Mist of Eldath")</f>
        <v>Mist of Eldath</v>
      </c>
      <c r="G54" s="10" t="str">
        <f>IFERROR(__xludf.DUMMYFUNCTION("""COMPUTED_VALUE"""),"Raise Dead")</f>
        <v>Raise Dead</v>
      </c>
    </row>
    <row r="55">
      <c r="A55" s="10" t="str">
        <f>IFERROR(__xludf.DUMMYFUNCTION("""COMPUTED_VALUE"""),"Recitation")</f>
        <v>Recitation</v>
      </c>
      <c r="B55" s="10" t="str">
        <f>IFERROR(__xludf.DUMMYFUNCTION("""COMPUTED_VALUE"""),"Monster Summoning 7")</f>
        <v>Monster Summoning 7</v>
      </c>
      <c r="D55" s="10" t="str">
        <f>IFERROR(__xludf.DUMMYFUNCTION("""COMPUTED_VALUE"""),"Prolongment")</f>
        <v>Prolongment</v>
      </c>
      <c r="E55" s="10" t="str">
        <f>IFERROR(__xludf.DUMMYFUNCTION("""COMPUTED_VALUE"""),"Moonblade")</f>
        <v>Moonblade</v>
      </c>
      <c r="G55" s="10" t="str">
        <f>IFERROR(__xludf.DUMMYFUNCTION("""COMPUTED_VALUE"""),"Reanimate")</f>
        <v>Reanimate</v>
      </c>
    </row>
    <row r="56">
      <c r="A56" s="10" t="str">
        <f>IFERROR(__xludf.DUMMYFUNCTION("""COMPUTED_VALUE"""),"Reflect Attack")</f>
        <v>Reflect Attack</v>
      </c>
      <c r="B56" s="10" t="str">
        <f>IFERROR(__xludf.DUMMYFUNCTION("""COMPUTED_VALUE"""),"Nonrandom Zone")</f>
        <v>Nonrandom Zone</v>
      </c>
      <c r="D56" s="10" t="str">
        <f>IFERROR(__xludf.DUMMYFUNCTION("""COMPUTED_VALUE"""),"Redirect Spell")</f>
        <v>Redirect Spell</v>
      </c>
      <c r="E56" s="10" t="str">
        <f>IFERROR(__xludf.DUMMYFUNCTION("""COMPUTED_VALUE"""),"Mordenkainen's Force Missiles")</f>
        <v>Mordenkainen's Force Missiles</v>
      </c>
      <c r="G56" s="10" t="str">
        <f>IFERROR(__xludf.DUMMYFUNCTION("""COMPUTED_VALUE"""),"Recall Spirit")</f>
        <v>Recall Spirit</v>
      </c>
    </row>
    <row r="57">
      <c r="A57" s="10" t="str">
        <f>IFERROR(__xludf.DUMMYFUNCTION("""COMPUTED_VALUE"""),"Remove Curse")</f>
        <v>Remove Curse</v>
      </c>
      <c r="B57" s="10" t="str">
        <f>IFERROR(__xludf.DUMMYFUNCTION("""COMPUTED_VALUE"""),"Power Word Blind")</f>
        <v>Power Word Blind</v>
      </c>
      <c r="D57" s="10" t="str">
        <f>IFERROR(__xludf.DUMMYFUNCTION("""COMPUTED_VALUE"""),"Resist Fire/Cold")</f>
        <v>Resist Fire/Cold</v>
      </c>
      <c r="E57" s="10" t="str">
        <f>IFERROR(__xludf.DUMMYFUNCTION("""COMPUTED_VALUE"""),"Mordenkainen's Sword")</f>
        <v>Mordenkainen's Sword</v>
      </c>
      <c r="G57" s="10" t="str">
        <f>IFERROR(__xludf.DUMMYFUNCTION("""COMPUTED_VALUE"""),"Regeneration")</f>
        <v>Regeneration</v>
      </c>
    </row>
    <row r="58">
      <c r="A58" s="10" t="str">
        <f>IFERROR(__xludf.DUMMYFUNCTION("""COMPUTED_VALUE"""),"Remove Fear")</f>
        <v>Remove Fear</v>
      </c>
      <c r="B58" s="10" t="str">
        <f>IFERROR(__xludf.DUMMYFUNCTION("""COMPUTED_VALUE"""),"Power Word Silence")</f>
        <v>Power Word Silence</v>
      </c>
      <c r="D58" s="10" t="str">
        <f>IFERROR(__xludf.DUMMYFUNCTION("""COMPUTED_VALUE"""),"Rewind Time")</f>
        <v>Rewind Time</v>
      </c>
      <c r="E58" s="10" t="str">
        <f>IFERROR(__xludf.DUMMYFUNCTION("""COMPUTED_VALUE"""),"Otiluke's Freezing Sphere")</f>
        <v>Otiluke's Freezing Sphere</v>
      </c>
      <c r="G58" s="10" t="str">
        <f>IFERROR(__xludf.DUMMYFUNCTION("""COMPUTED_VALUE"""),"Resurrection")</f>
        <v>Resurrection</v>
      </c>
    </row>
    <row r="59">
      <c r="A59" s="10" t="str">
        <f>IFERROR(__xludf.DUMMYFUNCTION("""COMPUTED_VALUE"""),"Remove Magic")</f>
        <v>Remove Magic</v>
      </c>
      <c r="B59" s="10" t="str">
        <f>IFERROR(__xludf.DUMMYFUNCTION("""COMPUTED_VALUE"""),"Power Word Sleep")</f>
        <v>Power Word Sleep</v>
      </c>
      <c r="D59" s="10" t="str">
        <f>IFERROR(__xludf.DUMMYFUNCTION("""COMPUTED_VALUE"""),"Righteous Magic")</f>
        <v>Righteous Magic</v>
      </c>
      <c r="E59" s="10" t="str">
        <f>IFERROR(__xludf.DUMMYFUNCTION("""COMPUTED_VALUE"""),"Phantom Blade")</f>
        <v>Phantom Blade</v>
      </c>
      <c r="G59" s="10" t="str">
        <f>IFERROR(__xludf.DUMMYFUNCTION("""COMPUTED_VALUE"""),"Sacrificial Explosion")</f>
        <v>Sacrificial Explosion</v>
      </c>
    </row>
    <row r="60">
      <c r="A60" s="10" t="str">
        <f>IFERROR(__xludf.DUMMYFUNCTION("""COMPUTED_VALUE"""),"Remove Paralysis")</f>
        <v>Remove Paralysis</v>
      </c>
      <c r="B60" s="10" t="str">
        <f>IFERROR(__xludf.DUMMYFUNCTION("""COMPUTED_VALUE"""),"Power Word, Kill")</f>
        <v>Power Word, Kill</v>
      </c>
      <c r="D60" s="10" t="str">
        <f>IFERROR(__xludf.DUMMYFUNCTION("""COMPUTED_VALUE"""),"Ruby Ray of Reversal")</f>
        <v>Ruby Ray of Reversal</v>
      </c>
      <c r="E60" s="10" t="str">
        <f>IFERROR(__xludf.DUMMYFUNCTION("""COMPUTED_VALUE"""),"Polar Ray")</f>
        <v>Polar Ray</v>
      </c>
      <c r="G60" s="10" t="str">
        <f>IFERROR(__xludf.DUMMYFUNCTION("""COMPUTED_VALUE"""),"Skeleton Horde")</f>
        <v>Skeleton Horde</v>
      </c>
    </row>
    <row r="61">
      <c r="A61" s="10" t="str">
        <f>IFERROR(__xludf.DUMMYFUNCTION("""COMPUTED_VALUE"""),"Repulse")</f>
        <v>Repulse</v>
      </c>
      <c r="B61" s="10" t="str">
        <f>IFERROR(__xludf.DUMMYFUNCTION("""COMPUTED_VALUE"""),"Power Word: Pull")</f>
        <v>Power Word: Pull</v>
      </c>
      <c r="D61" s="10" t="str">
        <f>IFERROR(__xludf.DUMMYFUNCTION("""COMPUTED_VALUE"""),"Shapechange")</f>
        <v>Shapechange</v>
      </c>
      <c r="E61" s="10" t="str">
        <f>IFERROR(__xludf.DUMMYFUNCTION("""COMPUTED_VALUE"""),"Rampant Lightning")</f>
        <v>Rampant Lightning</v>
      </c>
      <c r="G61" s="10" t="str">
        <f>IFERROR(__xludf.DUMMYFUNCTION("""COMPUTED_VALUE"""),"Skull Trap")</f>
        <v>Skull Trap</v>
      </c>
    </row>
    <row r="62">
      <c r="A62" s="10" t="str">
        <f>IFERROR(__xludf.DUMMYFUNCTION("""COMPUTED_VALUE"""),"Repulse Undead")</f>
        <v>Repulse Undead</v>
      </c>
      <c r="B62" s="10" t="str">
        <f>IFERROR(__xludf.DUMMYFUNCTION("""COMPUTED_VALUE"""),"Prayer")</f>
        <v>Prayer</v>
      </c>
      <c r="D62" s="10" t="str">
        <f>IFERROR(__xludf.DUMMYFUNCTION("""COMPUTED_VALUE"""),"Shillelagh")</f>
        <v>Shillelagh</v>
      </c>
      <c r="E62" s="10" t="str">
        <f>IFERROR(__xludf.DUMMYFUNCTION("""COMPUTED_VALUE"""),"Searing Smite")</f>
        <v>Searing Smite</v>
      </c>
      <c r="G62" s="10" t="str">
        <f>IFERROR(__xludf.DUMMYFUNCTION("""COMPUTED_VALUE"""),"Slay Living")</f>
        <v>Slay Living</v>
      </c>
    </row>
    <row r="63">
      <c r="A63" s="10" t="str">
        <f>IFERROR(__xludf.DUMMYFUNCTION("""COMPUTED_VALUE"""),"Sanctuary")</f>
        <v>Sanctuary</v>
      </c>
      <c r="B63" s="10" t="str">
        <f>IFERROR(__xludf.DUMMYFUNCTION("""COMPUTED_VALUE"""),"Prismatic Spray")</f>
        <v>Prismatic Spray</v>
      </c>
      <c r="D63" s="10" t="str">
        <f>IFERROR(__xludf.DUMMYFUNCTION("""COMPUTED_VALUE"""),"Shocking Grasp")</f>
        <v>Shocking Grasp</v>
      </c>
      <c r="E63" s="10" t="str">
        <f>IFERROR(__xludf.DUMMYFUNCTION("""COMPUTED_VALUE"""),"Shield")</f>
        <v>Shield</v>
      </c>
      <c r="G63" s="10" t="str">
        <f>IFERROR(__xludf.DUMMYFUNCTION("""COMPUTED_VALUE"""),"Slaying Sequencer")</f>
        <v>Slaying Sequencer</v>
      </c>
    </row>
    <row r="64">
      <c r="A64" s="10" t="str">
        <f>IFERROR(__xludf.DUMMYFUNCTION("""COMPUTED_VALUE"""),"Secret Word")</f>
        <v>Secret Word</v>
      </c>
      <c r="B64" s="10" t="str">
        <f>IFERROR(__xludf.DUMMYFUNCTION("""COMPUTED_VALUE"""),"Recall Party")</f>
        <v>Recall Party</v>
      </c>
      <c r="D64" s="10" t="str">
        <f>IFERROR(__xludf.DUMMYFUNCTION("""COMPUTED_VALUE"""),"Shortening")</f>
        <v>Shortening</v>
      </c>
      <c r="E64" s="10" t="str">
        <f>IFERROR(__xludf.DUMMYFUNCTION("""COMPUTED_VALUE"""),"Shout")</f>
        <v>Shout</v>
      </c>
      <c r="G64" s="10" t="str">
        <f>IFERROR(__xludf.DUMMYFUNCTION("""COMPUTED_VALUE"""),"Slow Poison")</f>
        <v>Slow Poison</v>
      </c>
    </row>
    <row r="65">
      <c r="A65" s="10" t="str">
        <f>IFERROR(__xludf.DUMMYFUNCTION("""COMPUTED_VALUE"""),"Seven Eyes")</f>
        <v>Seven Eyes</v>
      </c>
      <c r="B65" s="10" t="str">
        <f>IFERROR(__xludf.DUMMYFUNCTION("""COMPUTED_VALUE"""),"Recurring Contingency")</f>
        <v>Recurring Contingency</v>
      </c>
      <c r="D65" s="10" t="str">
        <f>IFERROR(__xludf.DUMMYFUNCTION("""COMPUTED_VALUE"""),"Silence 15' Radius")</f>
        <v>Silence 15' Radius</v>
      </c>
      <c r="E65" s="10" t="str">
        <f>IFERROR(__xludf.DUMMYFUNCTION("""COMPUTED_VALUE"""),"Shroud of Flame")</f>
        <v>Shroud of Flame</v>
      </c>
      <c r="G65" s="10" t="str">
        <f>IFERROR(__xludf.DUMMYFUNCTION("""COMPUTED_VALUE"""),"Soul Eater")</f>
        <v>Soul Eater</v>
      </c>
    </row>
    <row r="66">
      <c r="A66" s="10" t="str">
        <f>IFERROR(__xludf.DUMMYFUNCTION("""COMPUTED_VALUE"""),"Shield of the Archons")</f>
        <v>Shield of the Archons</v>
      </c>
      <c r="B66" s="10" t="str">
        <f>IFERROR(__xludf.DUMMYFUNCTION("""COMPUTED_VALUE"""),"Shield of Lathander")</f>
        <v>Shield of Lathander</v>
      </c>
      <c r="D66" s="10" t="str">
        <f>IFERROR(__xludf.DUMMYFUNCTION("""COMPUTED_VALUE"""),"Skip Time")</f>
        <v>Skip Time</v>
      </c>
      <c r="E66" s="10" t="str">
        <f>IFERROR(__xludf.DUMMYFUNCTION("""COMPUTED_VALUE"""),"Smashing Wave")</f>
        <v>Smashing Wave</v>
      </c>
      <c r="G66" s="10" t="str">
        <f>IFERROR(__xludf.DUMMYFUNCTION("""COMPUTED_VALUE"""),"Spirit Armor")</f>
        <v>Spirit Armor</v>
      </c>
    </row>
    <row r="67">
      <c r="A67" s="10" t="str">
        <f>IFERROR(__xludf.DUMMYFUNCTION("""COMPUTED_VALUE"""),"Specific Spell Immunity")</f>
        <v>Specific Spell Immunity</v>
      </c>
      <c r="B67" s="10" t="str">
        <f>IFERROR(__xludf.DUMMYFUNCTION("""COMPUTED_VALUE"""),"Slime Drop")</f>
        <v>Slime Drop</v>
      </c>
      <c r="D67" s="10" t="str">
        <f>IFERROR(__xludf.DUMMYFUNCTION("""COMPUTED_VALUE"""),"Slow")</f>
        <v>Slow</v>
      </c>
      <c r="E67" s="10" t="str">
        <f>IFERROR(__xludf.DUMMYFUNCTION("""COMPUTED_VALUE"""),"Snilloc's Snowball Swarm")</f>
        <v>Snilloc's Snowball Swarm</v>
      </c>
      <c r="G67" s="10" t="str">
        <f>IFERROR(__xludf.DUMMYFUNCTION("""COMPUTED_VALUE"""),"Summon Shadow")</f>
        <v>Summon Shadow</v>
      </c>
    </row>
    <row r="68">
      <c r="A68" s="10" t="str">
        <f>IFERROR(__xludf.DUMMYFUNCTION("""COMPUTED_VALUE"""),"Spell Deflection")</f>
        <v>Spell Deflection</v>
      </c>
      <c r="B68" s="10" t="str">
        <f>IFERROR(__xludf.DUMMYFUNCTION("""COMPUTED_VALUE"""),"Sphere of Annihilation")</f>
        <v>Sphere of Annihilation</v>
      </c>
      <c r="D68" s="10" t="str">
        <f>IFERROR(__xludf.DUMMYFUNCTION("""COMPUTED_VALUE"""),"Snake's Swiftness")</f>
        <v>Snake's Swiftness</v>
      </c>
      <c r="E68" s="10" t="str">
        <f>IFERROR(__xludf.DUMMYFUNCTION("""COMPUTED_VALUE"""),"Sol's Searing Orb")</f>
        <v>Sol's Searing Orb</v>
      </c>
      <c r="G68" s="10" t="str">
        <f>IFERROR(__xludf.DUMMYFUNCTION("""COMPUTED_VALUE"""),"Symbol, Pain")</f>
        <v>Symbol, Pain</v>
      </c>
    </row>
    <row r="69">
      <c r="A69" s="10" t="str">
        <f>IFERROR(__xludf.DUMMYFUNCTION("""COMPUTED_VALUE"""),"Spell Immunity")</f>
        <v>Spell Immunity</v>
      </c>
      <c r="B69" s="10" t="str">
        <f>IFERROR(__xludf.DUMMYFUNCTION("""COMPUTED_VALUE"""),"Spider Spawn")</f>
        <v>Spider Spawn</v>
      </c>
      <c r="D69" s="10" t="str">
        <f>IFERROR(__xludf.DUMMYFUNCTION("""COMPUTED_VALUE"""),"Spellshaping: Fireball")</f>
        <v>Spellshaping: Fireball</v>
      </c>
      <c r="E69" s="10" t="str">
        <f>IFERROR(__xludf.DUMMYFUNCTION("""COMPUTED_VALUE"""),"Spell Sequencer")</f>
        <v>Spell Sequencer</v>
      </c>
      <c r="G69" s="10" t="str">
        <f>IFERROR(__xludf.DUMMYFUNCTION("""COMPUTED_VALUE"""),"Terror")</f>
        <v>Terror</v>
      </c>
    </row>
    <row r="70">
      <c r="A70" s="10" t="str">
        <f>IFERROR(__xludf.DUMMYFUNCTION("""COMPUTED_VALUE"""),"Spell Shield")</f>
        <v>Spell Shield</v>
      </c>
      <c r="B70" s="10" t="str">
        <f>IFERROR(__xludf.DUMMYFUNCTION("""COMPUTED_VALUE"""),"Spirit Fire")</f>
        <v>Spirit Fire</v>
      </c>
      <c r="D70" s="10" t="str">
        <f>IFERROR(__xludf.DUMMYFUNCTION("""COMPUTED_VALUE"""),"Sphere of Chaos")</f>
        <v>Sphere of Chaos</v>
      </c>
      <c r="E70" s="10" t="str">
        <f>IFERROR(__xludf.DUMMYFUNCTION("""COMPUTED_VALUE"""),"Spell Trigger")</f>
        <v>Spell Trigger</v>
      </c>
      <c r="G70" s="10" t="str">
        <f>IFERROR(__xludf.DUMMYFUNCTION("""COMPUTED_VALUE"""),"Trollish Fortitude")</f>
        <v>Trollish Fortitude</v>
      </c>
    </row>
    <row r="71">
      <c r="A71" s="10" t="str">
        <f>IFERROR(__xludf.DUMMYFUNCTION("""COMPUTED_VALUE"""),"Spell Thrust")</f>
        <v>Spell Thrust</v>
      </c>
      <c r="B71" s="10" t="str">
        <f>IFERROR(__xludf.DUMMYFUNCTION("""COMPUTED_VALUE"""),"Stalker")</f>
        <v>Stalker</v>
      </c>
      <c r="D71" s="10" t="str">
        <f>IFERROR(__xludf.DUMMYFUNCTION("""COMPUTED_VALUE"""),"Sphere of Reversed Gravity")</f>
        <v>Sphere of Reversed Gravity</v>
      </c>
      <c r="E71" s="10" t="str">
        <f>IFERROR(__xludf.DUMMYFUNCTION("""COMPUTED_VALUE"""),"Spirit of Power")</f>
        <v>Spirit of Power</v>
      </c>
      <c r="G71" s="10" t="str">
        <f>IFERROR(__xludf.DUMMYFUNCTION("""COMPUTED_VALUE"""),"Undead Ward")</f>
        <v>Undead Ward</v>
      </c>
    </row>
    <row r="72">
      <c r="A72" s="10" t="str">
        <f>IFERROR(__xludf.DUMMYFUNCTION("""COMPUTED_VALUE"""),"Spell Trap")</f>
        <v>Spell Trap</v>
      </c>
      <c r="B72" s="10" t="str">
        <f>IFERROR(__xludf.DUMMYFUNCTION("""COMPUTED_VALUE"""),"Star Metal Cudgel")</f>
        <v>Star Metal Cudgel</v>
      </c>
      <c r="D72" s="10" t="str">
        <f>IFERROR(__xludf.DUMMYFUNCTION("""COMPUTED_VALUE"""),"Spike Growth")</f>
        <v>Spike Growth</v>
      </c>
      <c r="E72" s="10" t="str">
        <f>IFERROR(__xludf.DUMMYFUNCTION("""COMPUTED_VALUE"""),"Spiritual Hammer")</f>
        <v>Spiritual Hammer</v>
      </c>
      <c r="G72" s="10" t="str">
        <f>IFERROR(__xludf.DUMMYFUNCTION("""COMPUTED_VALUE"""),"Unfailing Endurance")</f>
        <v>Unfailing Endurance</v>
      </c>
    </row>
    <row r="73">
      <c r="A73" s="10" t="str">
        <f>IFERROR(__xludf.DUMMYFUNCTION("""COMPUTED_VALUE"""),"Spell Turning")</f>
        <v>Spell Turning</v>
      </c>
      <c r="B73" s="10" t="str">
        <f>IFERROR(__xludf.DUMMYFUNCTION("""COMPUTED_VALUE"""),"Storm of Vengeance")</f>
        <v>Storm of Vengeance</v>
      </c>
      <c r="D73" s="10" t="str">
        <f>IFERROR(__xludf.DUMMYFUNCTION("""COMPUTED_VALUE"""),"Spike Stones")</f>
        <v>Spike Stones</v>
      </c>
      <c r="E73" s="10" t="str">
        <f>IFERROR(__xludf.DUMMYFUNCTION("""COMPUTED_VALUE"""),"Spiritual Wrath")</f>
        <v>Spiritual Wrath</v>
      </c>
      <c r="G73" s="10" t="str">
        <f>IFERROR(__xludf.DUMMYFUNCTION("""COMPUTED_VALUE"""),"Unholy Blight")</f>
        <v>Unholy Blight</v>
      </c>
    </row>
    <row r="74">
      <c r="A74" s="10" t="str">
        <f>IFERROR(__xludf.DUMMYFUNCTION("""COMPUTED_VALUE"""),"Spellstrike")</f>
        <v>Spellstrike</v>
      </c>
      <c r="B74" s="10" t="str">
        <f>IFERROR(__xludf.DUMMYFUNCTION("""COMPUTED_VALUE"""),"Stygian Ice Storm")</f>
        <v>Stygian Ice Storm</v>
      </c>
      <c r="D74" s="10" t="str">
        <f>IFERROR(__xludf.DUMMYFUNCTION("""COMPUTED_VALUE"""),"Static Charge")</f>
        <v>Static Charge</v>
      </c>
      <c r="E74" s="10" t="str">
        <f>IFERROR(__xludf.DUMMYFUNCTION("""COMPUTED_VALUE"""),"Stinking Cloud")</f>
        <v>Stinking Cloud</v>
      </c>
      <c r="G74" s="10" t="str">
        <f>IFERROR(__xludf.DUMMYFUNCTION("""COMPUTED_VALUE"""),"Vampiric Feast")</f>
        <v>Vampiric Feast</v>
      </c>
    </row>
    <row r="75">
      <c r="A75" s="10" t="str">
        <f>IFERROR(__xludf.DUMMYFUNCTION("""COMPUTED_VALUE"""),"Sphere of Security")</f>
        <v>Sphere of Security</v>
      </c>
      <c r="B75" s="10" t="str">
        <f>IFERROR(__xludf.DUMMYFUNCTION("""COMPUTED_VALUE"""),"Summon Dark Planetar")</f>
        <v>Summon Dark Planetar</v>
      </c>
      <c r="D75" s="10" t="str">
        <f>IFERROR(__xludf.DUMMYFUNCTION("""COMPUTED_VALUE"""),"Steal Spells")</f>
        <v>Steal Spells</v>
      </c>
      <c r="E75" s="10" t="str">
        <f>IFERROR(__xludf.DUMMYFUNCTION("""COMPUTED_VALUE"""),"Sunfire")</f>
        <v>Sunfire</v>
      </c>
      <c r="G75" s="10" t="str">
        <f>IFERROR(__xludf.DUMMYFUNCTION("""COMPUTED_VALUE"""),"Vampiric Link")</f>
        <v>Vampiric Link</v>
      </c>
    </row>
    <row r="76">
      <c r="A76" s="10" t="str">
        <f>IFERROR(__xludf.DUMMYFUNCTION("""COMPUTED_VALUE"""),"Spirit Ward")</f>
        <v>Spirit Ward</v>
      </c>
      <c r="B76" s="10" t="str">
        <f>IFERROR(__xludf.DUMMYFUNCTION("""COMPUTED_VALUE"""),"Summon Deva")</f>
        <v>Summon Deva</v>
      </c>
      <c r="D76" s="10" t="str">
        <f>IFERROR(__xludf.DUMMYFUNCTION("""COMPUTED_VALUE"""),"Steel Wind Strike")</f>
        <v>Steel Wind Strike</v>
      </c>
      <c r="E76" s="10" t="str">
        <f>IFERROR(__xludf.DUMMYFUNCTION("""COMPUTED_VALUE"""),"Sunray")</f>
        <v>Sunray</v>
      </c>
      <c r="G76" s="10" t="str">
        <f>IFERROR(__xludf.DUMMYFUNCTION("""COMPUTED_VALUE"""),"Vampiric Touch")</f>
        <v>Vampiric Touch</v>
      </c>
    </row>
    <row r="77">
      <c r="A77" s="10" t="str">
        <f>IFERROR(__xludf.DUMMYFUNCTION("""COMPUTED_VALUE"""),"Spiritual Clarity")</f>
        <v>Spiritual Clarity</v>
      </c>
      <c r="B77" s="10" t="str">
        <f>IFERROR(__xludf.DUMMYFUNCTION("""COMPUTED_VALUE"""),"Summon Djinni")</f>
        <v>Summon Djinni</v>
      </c>
      <c r="D77" s="10" t="str">
        <f>IFERROR(__xludf.DUMMYFUNCTION("""COMPUTED_VALUE"""),"Stone Skin")</f>
        <v>Stone Skin</v>
      </c>
      <c r="E77" s="10" t="str">
        <f>IFERROR(__xludf.DUMMYFUNCTION("""COMPUTED_VALUE"""),"Sunscorch")</f>
        <v>Sunscorch</v>
      </c>
      <c r="G77" s="10" t="str">
        <f>IFERROR(__xludf.DUMMYFUNCTION("""COMPUTED_VALUE"""),"Wail of the Banshee")</f>
        <v>Wail of the Banshee</v>
      </c>
    </row>
    <row r="78">
      <c r="A78" s="10" t="str">
        <f>IFERROR(__xludf.DUMMYFUNCTION("""COMPUTED_VALUE"""),"Storm Shell")</f>
        <v>Storm Shell</v>
      </c>
      <c r="B78" s="10" t="str">
        <f>IFERROR(__xludf.DUMMYFUNCTION("""COMPUTED_VALUE"""),"Summon Efreeti")</f>
        <v>Summon Efreeti</v>
      </c>
      <c r="D78" s="10" t="str">
        <f>IFERROR(__xludf.DUMMYFUNCTION("""COMPUTED_VALUE"""),"Stone to Flesh")</f>
        <v>Stone to Flesh</v>
      </c>
      <c r="E78" s="10" t="str">
        <f>IFERROR(__xludf.DUMMYFUNCTION("""COMPUTED_VALUE"""),"Tornado")</f>
        <v>Tornado</v>
      </c>
      <c r="G78" s="10" t="str">
        <f>IFERROR(__xludf.DUMMYFUNCTION("""COMPUTED_VALUE"""),"Wither")</f>
        <v>Wither</v>
      </c>
    </row>
    <row r="79">
      <c r="A79" s="10" t="str">
        <f>IFERROR(__xludf.DUMMYFUNCTION("""COMPUTED_VALUE"""),"Storm Shield")</f>
        <v>Storm Shield</v>
      </c>
      <c r="B79" s="10" t="str">
        <f>IFERROR(__xludf.DUMMYFUNCTION("""COMPUTED_VALUE"""),"Summon Fallen Deva")</f>
        <v>Summon Fallen Deva</v>
      </c>
      <c r="D79" s="10" t="str">
        <f>IFERROR(__xludf.DUMMYFUNCTION("""COMPUTED_VALUE"""),"Strength")</f>
        <v>Strength</v>
      </c>
      <c r="E79" s="10" t="str">
        <f>IFERROR(__xludf.DUMMYFUNCTION("""COMPUTED_VALUE"""),"Trial by Fire")</f>
        <v>Trial by Fire</v>
      </c>
    </row>
    <row r="80">
      <c r="A80" s="10" t="str">
        <f>IFERROR(__xludf.DUMMYFUNCTION("""COMPUTED_VALUE"""),"True Dispel (P)")</f>
        <v>True Dispel (P)</v>
      </c>
      <c r="B80" s="10" t="str">
        <f>IFERROR(__xludf.DUMMYFUNCTION("""COMPUTED_VALUE"""),"Summon Fiend")</f>
        <v>Summon Fiend</v>
      </c>
      <c r="D80" s="10" t="str">
        <f>IFERROR(__xludf.DUMMYFUNCTION("""COMPUTED_VALUE"""),"Strength of One")</f>
        <v>Strength of One</v>
      </c>
      <c r="E80" s="10" t="str">
        <f>IFERROR(__xludf.DUMMYFUNCTION("""COMPUTED_VALUE"""),"Volcanic Eruption")</f>
        <v>Volcanic Eruption</v>
      </c>
    </row>
    <row r="81">
      <c r="A81" s="10" t="str">
        <f>IFERROR(__xludf.DUMMYFUNCTION("""COMPUTED_VALUE"""),"Turn Creature")</f>
        <v>Turn Creature</v>
      </c>
      <c r="B81" s="10" t="str">
        <f>IFERROR(__xludf.DUMMYFUNCTION("""COMPUTED_VALUE"""),"Summon Hakeashar")</f>
        <v>Summon Hakeashar</v>
      </c>
      <c r="D81" s="10" t="str">
        <f>IFERROR(__xludf.DUMMYFUNCTION("""COMPUTED_VALUE"""),"Suffocate")</f>
        <v>Suffocate</v>
      </c>
      <c r="E81" s="10" t="str">
        <f>IFERROR(__xludf.DUMMYFUNCTION("""COMPUTED_VALUE"""),"Wall of Fire")</f>
        <v>Wall of Fire</v>
      </c>
    </row>
    <row r="82">
      <c r="A82" s="10" t="str">
        <f>IFERROR(__xludf.DUMMYFUNCTION("""COMPUTED_VALUE"""),"Wall of Force")</f>
        <v>Wall of Force</v>
      </c>
      <c r="B82" s="10" t="str">
        <f>IFERROR(__xludf.DUMMYFUNCTION("""COMPUTED_VALUE"""),"Summon Insects")</f>
        <v>Summon Insects</v>
      </c>
      <c r="D82" s="10" t="str">
        <f>IFERROR(__xludf.DUMMYFUNCTION("""COMPUTED_VALUE"""),"Teleport Field")</f>
        <v>Teleport Field</v>
      </c>
      <c r="E82" s="10" t="str">
        <f>IFERROR(__xludf.DUMMYFUNCTION("""COMPUTED_VALUE"""),"Wall of Moonlight")</f>
        <v>Wall of Moonlight</v>
      </c>
    </row>
    <row r="83">
      <c r="A83" s="10" t="str">
        <f>IFERROR(__xludf.DUMMYFUNCTION("""COMPUTED_VALUE"""),"Zone of Sweet Air")</f>
        <v>Zone of Sweet Air</v>
      </c>
      <c r="B83" s="10" t="str">
        <f>IFERROR(__xludf.DUMMYFUNCTION("""COMPUTED_VALUE"""),"Summon Kobold")</f>
        <v>Summon Kobold</v>
      </c>
      <c r="D83" s="10" t="str">
        <f>IFERROR(__xludf.DUMMYFUNCTION("""COMPUTED_VALUE"""),"Teleport Step")</f>
        <v>Teleport Step</v>
      </c>
      <c r="E83" s="10" t="str">
        <f>IFERROR(__xludf.DUMMYFUNCTION("""COMPUTED_VALUE"""),"Web")</f>
        <v>Web</v>
      </c>
    </row>
    <row r="84">
      <c r="B84" s="10" t="str">
        <f>IFERROR(__xludf.DUMMYFUNCTION("""COMPUTED_VALUE"""),"Summon Lizard Man")</f>
        <v>Summon Lizard Man</v>
      </c>
      <c r="D84" s="10" t="str">
        <f>IFERROR(__xludf.DUMMYFUNCTION("""COMPUTED_VALUE"""),"Tenser's Transformation")</f>
        <v>Tenser's Transformation</v>
      </c>
      <c r="E84" s="10" t="str">
        <f>IFERROR(__xludf.DUMMYFUNCTION("""COMPUTED_VALUE"""),"Whirlwind")</f>
        <v>Whirlwind</v>
      </c>
    </row>
    <row r="85">
      <c r="B85" s="10" t="str">
        <f>IFERROR(__xludf.DUMMYFUNCTION("""COMPUTED_VALUE"""),"Summon Nishruu")</f>
        <v>Summon Nishruu</v>
      </c>
      <c r="D85" s="10" t="str">
        <f>IFERROR(__xludf.DUMMYFUNCTION("""COMPUTED_VALUE"""),"Thorn Spray")</f>
        <v>Thorn Spray</v>
      </c>
    </row>
    <row r="86">
      <c r="B86" s="10" t="str">
        <f>IFERROR(__xludf.DUMMYFUNCTION("""COMPUTED_VALUE"""),"Summon Planetar")</f>
        <v>Summon Planetar</v>
      </c>
      <c r="D86" s="10" t="str">
        <f>IFERROR(__xludf.DUMMYFUNCTION("""COMPUTED_VALUE"""),"Throw")</f>
        <v>Throw</v>
      </c>
    </row>
    <row r="87">
      <c r="B87" s="10" t="str">
        <f>IFERROR(__xludf.DUMMYFUNCTION("""COMPUTED_VALUE"""),"Summon Trolls")</f>
        <v>Summon Trolls</v>
      </c>
      <c r="D87" s="10" t="str">
        <f>IFERROR(__xludf.DUMMYFUNCTION("""COMPUTED_VALUE"""),"Time Stop")</f>
        <v>Time Stop</v>
      </c>
    </row>
    <row r="88">
      <c r="B88" s="10" t="str">
        <f>IFERROR(__xludf.DUMMYFUNCTION("""COMPUTED_VALUE"""),"Symbol, Death")</f>
        <v>Symbol, Death</v>
      </c>
      <c r="D88" s="10" t="str">
        <f>IFERROR(__xludf.DUMMYFUNCTION("""COMPUTED_VALUE"""),"Vocalize")</f>
        <v>Vocalize</v>
      </c>
    </row>
    <row r="89">
      <c r="B89" s="10" t="str">
        <f>IFERROR(__xludf.DUMMYFUNCTION("""COMPUTED_VALUE"""),"Symbol, Fear")</f>
        <v>Symbol, Fear</v>
      </c>
      <c r="D89" s="10" t="str">
        <f>IFERROR(__xludf.DUMMYFUNCTION("""COMPUTED_VALUE"""),"Wind Shots")</f>
        <v>Wind Shots</v>
      </c>
    </row>
    <row r="90">
      <c r="B90" s="10" t="str">
        <f>IFERROR(__xludf.DUMMYFUNCTION("""COMPUTED_VALUE"""),"Symbol, Hopelessness")</f>
        <v>Symbol, Hopelessness</v>
      </c>
      <c r="D90" s="10" t="str">
        <f>IFERROR(__xludf.DUMMYFUNCTION("""COMPUTED_VALUE"""),"Wizard Eye")</f>
        <v>Wizard Eye</v>
      </c>
    </row>
    <row r="91">
      <c r="B91" s="10" t="str">
        <f>IFERROR(__xludf.DUMMYFUNCTION("""COMPUTED_VALUE"""),"Symbol, Stun")</f>
        <v>Symbol, Stun</v>
      </c>
      <c r="D91" s="10" t="str">
        <f>IFERROR(__xludf.DUMMYFUNCTION("""COMPUTED_VALUE"""),"Wondrous Recall")</f>
        <v>Wondrous Recall</v>
      </c>
    </row>
    <row r="92">
      <c r="B92" s="10" t="str">
        <f>IFERROR(__xludf.DUMMYFUNCTION("""COMPUTED_VALUE"""),"Teleportation Circle")</f>
        <v>Teleportation Circle</v>
      </c>
    </row>
    <row r="93">
      <c r="B93" s="10" t="str">
        <f>IFERROR(__xludf.DUMMYFUNCTION("""COMPUTED_VALUE"""),"Unholy Word")</f>
        <v>Unholy Word</v>
      </c>
    </row>
    <row r="94">
      <c r="B94" s="10" t="str">
        <f>IFERROR(__xludf.DUMMYFUNCTION("""COMPUTED_VALUE"""),"Vitriolic Sphere")</f>
        <v>Vitriolic Sphere</v>
      </c>
    </row>
    <row r="95">
      <c r="B95" s="10" t="str">
        <f>IFERROR(__xludf.DUMMYFUNCTION("""COMPUTED_VALUE"""),"Wish")</f>
        <v>Wish</v>
      </c>
    </row>
    <row r="96">
      <c r="B96" s="10" t="str">
        <f>IFERROR(__xludf.DUMMYFUNCTION("""COMPUTED_VALUE"""),"Writhing Fog")</f>
        <v>Writhing Fog</v>
      </c>
    </row>
    <row r="97">
      <c r="B97" s="10" t="str">
        <f>IFERROR(__xludf.DUMMYFUNCTION("""COMPUTED_VALUE"""),"Wyvern Call")</f>
        <v>Wyvern Call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28.63"/>
    <col customWidth="1" min="2" max="2" width="23.88"/>
    <col customWidth="1" min="3" max="3" width="16.13"/>
    <col customWidth="1" min="4" max="4" width="23.38"/>
    <col customWidth="1" min="5" max="5" width="23.88"/>
    <col customWidth="1" min="6" max="6" width="24.0"/>
    <col customWidth="1" min="7" max="7" width="20.88"/>
    <col customWidth="1" min="8" max="8" width="18.75"/>
    <col customWidth="1" min="9" max="9" width="22.0"/>
  </cols>
  <sheetData>
    <row r="1">
      <c r="A1" s="2" t="s">
        <v>2</v>
      </c>
      <c r="B1" s="2" t="s">
        <v>3</v>
      </c>
      <c r="C1" s="2" t="s">
        <v>4</v>
      </c>
      <c r="D1" s="2" t="s">
        <v>5</v>
      </c>
      <c r="E1" s="2" t="s">
        <v>6</v>
      </c>
      <c r="F1" s="2" t="s">
        <v>7</v>
      </c>
      <c r="G1" s="2" t="s">
        <v>8</v>
      </c>
      <c r="H1" s="2" t="s">
        <v>9</v>
      </c>
      <c r="I1" s="2" t="s">
        <v>10</v>
      </c>
    </row>
    <row r="2">
      <c r="A2" s="10" t="str">
        <f>IFERROR(__xludf.DUMMYFUNCTION("FILTER('Spells By School'!A2:A100, NOT(COUNTIF('Wand Mapping'!B4:B100, 'Spells By School'!A2:A100)))"),"")</f>
        <v/>
      </c>
      <c r="B2" s="10" t="str">
        <f>IFERROR(__xludf.DUMMYFUNCTION("FILTER('Spells By School'!B2:B100, NOT(COUNTIF('Wand Mapping'!C4:C100, 'Spells By School'!B2:B100)))"),"")</f>
        <v/>
      </c>
      <c r="C2" s="10" t="str">
        <f>IFERROR(__xludf.DUMMYFUNCTION("FILTER('Spells By School'!C2:C100, NOT(COUNTIF('Wand Mapping'!D4:D100, 'Spells By School'!C2:C100)))"),"")</f>
        <v/>
      </c>
      <c r="D2" s="10" t="str">
        <f>IFERROR(__xludf.DUMMYFUNCTION("FILTER('Spells By School'!D2:D100, NOT(COUNTIF('Wand Mapping'!E4:E100, 'Spells By School'!D2:D100)))"),"")</f>
        <v/>
      </c>
      <c r="E2" s="10" t="str">
        <f>IFERROR(__xludf.DUMMYFUNCTION("FILTER('Spells By School'!E2:E100, NOT(COUNTIF('Wand Mapping'!F4:F100, 'Spells By School'!E2:E100)))"),"")</f>
        <v/>
      </c>
      <c r="F2" s="10" t="str">
        <f>IFERROR(__xludf.DUMMYFUNCTION("FILTER('Spells By School'!F2:F100, NOT(COUNTIF('Wand Mapping'!G4:G100, 'Spells By School'!F2:F100)))"),"")</f>
        <v/>
      </c>
      <c r="G2" s="10" t="str">
        <f>IFERROR(__xludf.DUMMYFUNCTION("FILTER('Spells By School'!G2:G100, NOT(COUNTIF('Wand Mapping'!H4:H100, 'Spells By School'!G2:G100)))"),"")</f>
        <v/>
      </c>
      <c r="H2" s="10" t="str">
        <f>IFERROR(__xludf.DUMMYFUNCTION("FILTER('Spells By School'!H2:H100, NOT(COUNTIF('Wand Mapping'!I4:I100, 'Spells By School'!H2:H100)))"),"")</f>
        <v/>
      </c>
      <c r="I2" s="10" t="str">
        <f>IFERROR(__xludf.DUMMYFUNCTION("FILTER('Spells By School'!I2:I100, NOT(COUNTIF('Wand Mapping'!J4:J100, 'Spells By School'!I2:I100)))"),"")</f>
        <v/>
      </c>
    </row>
    <row r="3">
      <c r="A3" s="10"/>
      <c r="B3" s="10"/>
      <c r="C3" s="10"/>
      <c r="D3" s="10"/>
      <c r="E3" s="10"/>
      <c r="F3" s="10"/>
      <c r="G3" s="10"/>
      <c r="H3" s="10"/>
      <c r="I3" s="10"/>
    </row>
    <row r="4">
      <c r="A4" s="10"/>
      <c r="B4" s="10"/>
      <c r="C4" s="10"/>
      <c r="D4" s="10"/>
      <c r="E4" s="10"/>
      <c r="F4" s="10"/>
      <c r="G4" s="10"/>
      <c r="H4" s="10"/>
      <c r="I4" s="10"/>
    </row>
    <row r="5">
      <c r="A5" s="10"/>
      <c r="C5" s="10"/>
      <c r="D5" s="10"/>
      <c r="E5" s="10"/>
      <c r="F5" s="10"/>
      <c r="G5" s="10"/>
      <c r="H5" s="10"/>
      <c r="I5" s="10"/>
    </row>
    <row r="6">
      <c r="A6" s="10"/>
      <c r="C6" s="10"/>
      <c r="D6" s="10"/>
      <c r="E6" s="10"/>
      <c r="F6" s="10"/>
      <c r="G6" s="10"/>
      <c r="H6" s="10"/>
      <c r="I6" s="10"/>
    </row>
    <row r="7">
      <c r="A7" s="10"/>
      <c r="C7" s="10"/>
      <c r="D7" s="10"/>
      <c r="E7" s="10"/>
      <c r="F7" s="10"/>
      <c r="G7" s="10"/>
      <c r="H7" s="10"/>
      <c r="I7" s="10"/>
    </row>
    <row r="8">
      <c r="A8" s="10"/>
      <c r="C8" s="10"/>
      <c r="D8" s="10"/>
      <c r="E8" s="10"/>
      <c r="F8" s="10"/>
      <c r="G8" s="10"/>
      <c r="H8" s="10"/>
      <c r="I8" s="10"/>
    </row>
    <row r="9">
      <c r="A9" s="10"/>
      <c r="C9" s="10"/>
      <c r="D9" s="10"/>
      <c r="E9" s="10"/>
      <c r="F9" s="10"/>
      <c r="G9" s="10"/>
      <c r="H9" s="10"/>
      <c r="I9" s="10"/>
    </row>
    <row r="10">
      <c r="A10" s="10"/>
      <c r="C10" s="10"/>
      <c r="D10" s="10"/>
      <c r="E10" s="10"/>
      <c r="F10" s="10"/>
      <c r="G10" s="10"/>
      <c r="H10" s="10"/>
      <c r="I10" s="10"/>
    </row>
    <row r="11">
      <c r="A11" s="10"/>
      <c r="C11" s="10"/>
      <c r="E11" s="10"/>
      <c r="F11" s="10"/>
      <c r="G11" s="10"/>
      <c r="H11" s="10"/>
      <c r="I11" s="10"/>
    </row>
    <row r="12">
      <c r="A12" s="10"/>
      <c r="C12" s="10"/>
      <c r="E12" s="10"/>
      <c r="F12" s="10"/>
      <c r="G12" s="10"/>
      <c r="H12" s="10"/>
      <c r="I12" s="10"/>
    </row>
    <row r="13">
      <c r="A13" s="10"/>
      <c r="C13" s="10"/>
      <c r="E13" s="10"/>
      <c r="F13" s="10"/>
      <c r="G13" s="10"/>
      <c r="H13" s="10"/>
      <c r="I13" s="10"/>
    </row>
    <row r="14">
      <c r="A14" s="10"/>
      <c r="C14" s="10"/>
      <c r="E14" s="10"/>
      <c r="F14" s="10"/>
      <c r="G14" s="10"/>
      <c r="H14" s="10"/>
      <c r="I14" s="10"/>
    </row>
    <row r="15">
      <c r="A15" s="10"/>
      <c r="C15" s="10"/>
      <c r="E15" s="10"/>
      <c r="F15" s="10"/>
      <c r="G15" s="10"/>
      <c r="H15" s="10"/>
      <c r="I15" s="10"/>
    </row>
    <row r="16">
      <c r="A16" s="10"/>
      <c r="C16" s="10"/>
      <c r="E16" s="10"/>
      <c r="F16" s="10"/>
      <c r="G16" s="10"/>
      <c r="H16" s="10"/>
      <c r="I16" s="10"/>
    </row>
    <row r="17">
      <c r="A17" s="10"/>
      <c r="C17" s="10"/>
      <c r="E17" s="10"/>
      <c r="F17" s="10"/>
      <c r="G17" s="10"/>
      <c r="H17" s="10"/>
      <c r="I17" s="10"/>
    </row>
    <row r="18">
      <c r="A18" s="10"/>
      <c r="C18" s="10"/>
      <c r="F18" s="10"/>
      <c r="G18" s="10"/>
      <c r="H18" s="10"/>
      <c r="I18" s="10"/>
    </row>
    <row r="19">
      <c r="C19" s="10"/>
      <c r="F19" s="10"/>
      <c r="G19" s="10"/>
      <c r="H19" s="10"/>
      <c r="I19" s="10"/>
    </row>
    <row r="20">
      <c r="C20" s="10"/>
      <c r="F20" s="10"/>
      <c r="G20" s="10"/>
      <c r="H20" s="10"/>
      <c r="I20" s="10"/>
    </row>
    <row r="21">
      <c r="C21" s="10"/>
      <c r="F21" s="10"/>
      <c r="G21" s="10"/>
      <c r="H21" s="10"/>
      <c r="I21" s="10"/>
    </row>
    <row r="22">
      <c r="C22" s="10"/>
      <c r="F22" s="10"/>
      <c r="G22" s="10"/>
      <c r="H22" s="10"/>
      <c r="I22" s="10"/>
    </row>
    <row r="23">
      <c r="C23" s="10"/>
      <c r="F23" s="10"/>
      <c r="G23" s="10"/>
      <c r="H23" s="10"/>
      <c r="I23" s="10"/>
    </row>
    <row r="24">
      <c r="C24" s="10"/>
      <c r="F24" s="10"/>
      <c r="H24" s="10"/>
      <c r="I24" s="10"/>
    </row>
    <row r="25">
      <c r="C25" s="10"/>
      <c r="F25" s="10"/>
      <c r="H25" s="10"/>
      <c r="I25" s="10"/>
    </row>
    <row r="26">
      <c r="C26" s="10"/>
      <c r="F26" s="10"/>
      <c r="H26" s="10"/>
      <c r="I26" s="10"/>
    </row>
    <row r="27">
      <c r="C27" s="10"/>
      <c r="F27" s="10"/>
      <c r="H27" s="10"/>
      <c r="I27" s="10"/>
    </row>
    <row r="28">
      <c r="C28" s="10"/>
      <c r="F28" s="10"/>
      <c r="H28" s="10"/>
      <c r="I28" s="10"/>
    </row>
    <row r="29">
      <c r="C29" s="10"/>
      <c r="F29" s="10"/>
      <c r="H29" s="10"/>
      <c r="I29" s="10"/>
    </row>
    <row r="30">
      <c r="C30" s="10"/>
      <c r="F30" s="10"/>
      <c r="H30" s="10"/>
      <c r="I30" s="10"/>
    </row>
    <row r="31">
      <c r="C31" s="10"/>
      <c r="F31" s="10"/>
      <c r="H31" s="10"/>
      <c r="I31" s="10"/>
    </row>
    <row r="32">
      <c r="C32" s="10"/>
      <c r="F32" s="10"/>
      <c r="H32" s="10"/>
      <c r="I32" s="10"/>
    </row>
    <row r="33">
      <c r="C33" s="10"/>
      <c r="F33" s="10"/>
      <c r="H33" s="10"/>
      <c r="I33" s="10"/>
    </row>
    <row r="34">
      <c r="C34" s="10"/>
      <c r="F34" s="10"/>
      <c r="H34" s="10"/>
      <c r="I34" s="10"/>
    </row>
    <row r="35">
      <c r="C35" s="10"/>
      <c r="F35" s="10"/>
      <c r="H35" s="10"/>
      <c r="I35" s="10"/>
    </row>
    <row r="36">
      <c r="C36" s="10"/>
      <c r="F36" s="10"/>
      <c r="H36" s="10"/>
      <c r="I36" s="10"/>
    </row>
    <row r="37">
      <c r="C37" s="10"/>
      <c r="F37" s="10"/>
      <c r="H37" s="10"/>
      <c r="I37" s="10"/>
    </row>
    <row r="38">
      <c r="C38" s="10"/>
      <c r="F38" s="10"/>
      <c r="H38" s="10"/>
      <c r="I38" s="10"/>
    </row>
    <row r="39">
      <c r="C39" s="10"/>
      <c r="F39" s="10"/>
      <c r="H39" s="10"/>
      <c r="I39" s="10"/>
    </row>
    <row r="40">
      <c r="C40" s="10"/>
      <c r="F40" s="10"/>
      <c r="H40" s="10"/>
      <c r="I40" s="10"/>
    </row>
    <row r="41">
      <c r="C41" s="10"/>
      <c r="F41" s="10"/>
      <c r="H41" s="10"/>
      <c r="I41" s="10"/>
    </row>
    <row r="42">
      <c r="C42" s="10"/>
      <c r="F42" s="10"/>
      <c r="H42" s="10"/>
      <c r="I42" s="10"/>
    </row>
    <row r="43">
      <c r="C43" s="10"/>
      <c r="F43" s="10"/>
      <c r="H43" s="10"/>
      <c r="I43" s="10"/>
    </row>
    <row r="44">
      <c r="C44" s="10"/>
      <c r="F44" s="10"/>
      <c r="H44" s="10"/>
      <c r="I44" s="10"/>
    </row>
    <row r="45">
      <c r="C45" s="10"/>
      <c r="F45" s="10"/>
      <c r="H45" s="10"/>
      <c r="I45" s="10"/>
    </row>
    <row r="46">
      <c r="C46" s="10"/>
      <c r="F46" s="10"/>
      <c r="H46" s="10"/>
      <c r="I46" s="10"/>
    </row>
    <row r="47">
      <c r="C47" s="10"/>
      <c r="F47" s="10"/>
      <c r="H47" s="10"/>
      <c r="I47" s="10"/>
    </row>
    <row r="48">
      <c r="C48" s="10"/>
      <c r="F48" s="10"/>
      <c r="H48" s="10"/>
      <c r="I48" s="10"/>
    </row>
    <row r="49">
      <c r="C49" s="10"/>
      <c r="F49" s="10"/>
      <c r="H49" s="10"/>
      <c r="I49" s="10"/>
    </row>
    <row r="50">
      <c r="C50" s="10"/>
      <c r="F50" s="10"/>
      <c r="H50" s="10"/>
      <c r="I50" s="10"/>
    </row>
    <row r="51">
      <c r="C51" s="10"/>
      <c r="F51" s="10"/>
      <c r="H51" s="10"/>
      <c r="I51" s="10"/>
    </row>
    <row r="52">
      <c r="C52" s="10"/>
      <c r="F52" s="10"/>
      <c r="H52" s="10"/>
      <c r="I52" s="10"/>
    </row>
    <row r="53">
      <c r="C53" s="10"/>
      <c r="F53" s="10"/>
      <c r="H53" s="10"/>
      <c r="I53" s="10"/>
    </row>
    <row r="54">
      <c r="C54" s="10"/>
      <c r="H54" s="10"/>
      <c r="I54" s="10"/>
    </row>
    <row r="55">
      <c r="C55" s="10"/>
      <c r="H55" s="10"/>
      <c r="I55" s="10"/>
    </row>
    <row r="56">
      <c r="C56" s="10"/>
      <c r="H56" s="10"/>
      <c r="I56" s="10"/>
    </row>
    <row r="57">
      <c r="C57" s="10"/>
      <c r="H57" s="10"/>
      <c r="I57" s="10"/>
    </row>
    <row r="58">
      <c r="C58" s="10"/>
      <c r="H58" s="10"/>
      <c r="I58" s="10"/>
    </row>
    <row r="59">
      <c r="C59" s="10"/>
      <c r="H59" s="10"/>
      <c r="I59" s="10"/>
    </row>
    <row r="60">
      <c r="C60" s="10"/>
      <c r="H60" s="10"/>
      <c r="I60" s="10"/>
    </row>
    <row r="61">
      <c r="C61" s="10"/>
      <c r="H61" s="10"/>
      <c r="I61" s="10"/>
    </row>
    <row r="62">
      <c r="C62" s="10"/>
      <c r="H62" s="10"/>
      <c r="I62" s="10"/>
    </row>
    <row r="63">
      <c r="C63" s="10"/>
      <c r="H63" s="10"/>
      <c r="I63" s="10"/>
    </row>
    <row r="64">
      <c r="C64" s="10"/>
      <c r="H64" s="10"/>
      <c r="I64" s="10"/>
    </row>
    <row r="65">
      <c r="C65" s="10"/>
      <c r="H65" s="10"/>
      <c r="I65" s="10"/>
    </row>
    <row r="66">
      <c r="C66" s="10"/>
      <c r="H66" s="10"/>
      <c r="I66" s="10"/>
    </row>
    <row r="67">
      <c r="C67" s="10"/>
      <c r="H67" s="10"/>
      <c r="I67" s="10"/>
    </row>
    <row r="68">
      <c r="C68" s="10"/>
      <c r="H68" s="10"/>
      <c r="I68" s="10"/>
    </row>
    <row r="69">
      <c r="C69" s="10"/>
      <c r="H69" s="10"/>
      <c r="I69" s="10"/>
    </row>
    <row r="70">
      <c r="C70" s="10"/>
      <c r="H70" s="10"/>
      <c r="I70" s="10"/>
    </row>
    <row r="71">
      <c r="C71" s="10"/>
      <c r="I71" s="10"/>
    </row>
    <row r="72">
      <c r="C72" s="10"/>
      <c r="I72" s="10"/>
    </row>
    <row r="73">
      <c r="C73" s="10"/>
      <c r="I73" s="10"/>
    </row>
    <row r="74">
      <c r="C74" s="10"/>
      <c r="I74" s="10"/>
    </row>
    <row r="75">
      <c r="C75" s="10"/>
      <c r="I75" s="10"/>
    </row>
    <row r="76">
      <c r="C76" s="10"/>
      <c r="I76" s="10"/>
    </row>
    <row r="77">
      <c r="C77" s="10"/>
      <c r="I77" s="10"/>
    </row>
    <row r="78">
      <c r="C78" s="10"/>
      <c r="I78" s="10"/>
    </row>
    <row r="79">
      <c r="C79" s="10"/>
      <c r="I79" s="10"/>
    </row>
    <row r="80">
      <c r="C80" s="10"/>
      <c r="I80" s="10"/>
    </row>
    <row r="81">
      <c r="I81" s="10"/>
    </row>
    <row r="82">
      <c r="I82" s="10"/>
    </row>
    <row r="83">
      <c r="I83" s="10"/>
    </row>
    <row r="84">
      <c r="I84" s="10"/>
    </row>
    <row r="85">
      <c r="I85" s="10"/>
    </row>
    <row r="86">
      <c r="I86" s="10"/>
    </row>
    <row r="87">
      <c r="I87" s="10"/>
    </row>
    <row r="88">
      <c r="I88" s="10"/>
    </row>
    <row r="89">
      <c r="I89" s="10"/>
    </row>
    <row r="90">
      <c r="I90" s="10"/>
    </row>
    <row r="91">
      <c r="I91" s="10"/>
    </row>
    <row r="92">
      <c r="I92" s="10"/>
    </row>
    <row r="93">
      <c r="I93" s="10"/>
    </row>
    <row r="94">
      <c r="I94" s="10"/>
    </row>
    <row r="95">
      <c r="I95" s="10"/>
    </row>
    <row r="96">
      <c r="I96" s="10"/>
    </row>
  </sheetData>
  <drawing r:id="rId1"/>
</worksheet>
</file>